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intensivvardsregistret-my.sharepoint.com/personal/lena_andersson_icuregswe_org/Documents/Skrivbordet/"/>
    </mc:Choice>
  </mc:AlternateContent>
  <xr:revisionPtr revIDLastSave="0" documentId="8_{9E7E23AE-245E-4F27-8B40-8FA9CA4ADDAC}" xr6:coauthVersionLast="47" xr6:coauthVersionMax="47" xr10:uidLastSave="{00000000-0000-0000-0000-000000000000}"/>
  <bookViews>
    <workbookView xWindow="28680" yWindow="510" windowWidth="29040" windowHeight="17520" xr2:uid="{00000000-000D-0000-FFFF-FFFF00000000}"/>
  </bookViews>
  <sheets>
    <sheet name="Innehåll" sheetId="1" r:id="rId1"/>
    <sheet name="Json-dokumentation" sheetId="2" r:id="rId2"/>
    <sheet name="Ändringshistorik" sheetId="3" r:id="rId3"/>
    <sheet name="Exempel 1" sheetId="4" r:id="rId4"/>
    <sheet name="Exempel 2" sheetId="5" r:id="rId5"/>
    <sheet name="Exempel 3" sheetId="6" r:id="rId6"/>
    <sheet name="Exempel Omvårdnadsdokumentation" sheetId="7" r:id="rId7"/>
    <sheet name="Exempel Daglig SOFA"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9" i="3" l="1"/>
  <c r="C368" i="3"/>
  <c r="C367" i="3"/>
  <c r="C366" i="3"/>
  <c r="C365" i="3"/>
  <c r="C364" i="3"/>
  <c r="C363" i="3"/>
  <c r="C362" i="3"/>
  <c r="C361" i="3"/>
  <c r="C360" i="3"/>
  <c r="C359" i="3"/>
  <c r="C358" i="3"/>
  <c r="C357" i="3"/>
  <c r="C356" i="3"/>
  <c r="C352" i="3"/>
  <c r="C351" i="3"/>
  <c r="C350" i="3"/>
  <c r="C349" i="3"/>
  <c r="C344" i="3"/>
  <c r="C343" i="3"/>
  <c r="C342" i="3"/>
  <c r="C341" i="3"/>
  <c r="C340" i="3"/>
  <c r="C339" i="3"/>
  <c r="C338" i="3"/>
  <c r="C337" i="3"/>
  <c r="C336" i="3"/>
  <c r="C327" i="3"/>
  <c r="C325" i="3"/>
  <c r="C324"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26" i="3"/>
  <c r="C225" i="3"/>
  <c r="C221" i="3"/>
  <c r="C220"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2" i="3"/>
  <c r="C171" i="3"/>
  <c r="C170" i="3"/>
  <c r="C169" i="3"/>
  <c r="C168" i="3"/>
  <c r="C167" i="3"/>
  <c r="C166" i="3"/>
  <c r="C165" i="3"/>
  <c r="C164" i="3"/>
  <c r="C163" i="3"/>
  <c r="C162" i="3"/>
  <c r="C158" i="3"/>
  <c r="C156" i="3"/>
  <c r="C155" i="3"/>
  <c r="C154" i="3"/>
  <c r="C153" i="3"/>
  <c r="C152" i="3"/>
  <c r="C15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2" i="3"/>
  <c r="C111" i="3"/>
  <c r="C110" i="3"/>
  <c r="C109" i="3"/>
  <c r="C108" i="3"/>
  <c r="C107" i="3"/>
  <c r="C106" i="3"/>
  <c r="C105" i="3"/>
  <c r="C104" i="3"/>
  <c r="C103" i="3"/>
  <c r="C102" i="3"/>
  <c r="C101"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J3242" i="2"/>
  <c r="J3238" i="2"/>
  <c r="J3237" i="2"/>
  <c r="C3224" i="2"/>
  <c r="C3221" i="2"/>
  <c r="C3107" i="2"/>
  <c r="C3093" i="2"/>
  <c r="C3049" i="2"/>
  <c r="C3034" i="2"/>
  <c r="C3027" i="2"/>
  <c r="C3019" i="2"/>
  <c r="C3006" i="2"/>
  <c r="C2995" i="2"/>
  <c r="C2985" i="2"/>
  <c r="C2975" i="2"/>
  <c r="C2969" i="2"/>
  <c r="C2963" i="2"/>
  <c r="C2957" i="2"/>
  <c r="C2949" i="2"/>
  <c r="C2941" i="2"/>
  <c r="C2932" i="2"/>
  <c r="C2924" i="2"/>
  <c r="C2917" i="2"/>
  <c r="C2910" i="2"/>
  <c r="C2903" i="2"/>
  <c r="C2896" i="2"/>
  <c r="J2870" i="2"/>
  <c r="J2858" i="2"/>
  <c r="C2849" i="2"/>
  <c r="C2842" i="2"/>
  <c r="C2835" i="2"/>
  <c r="C2824" i="2"/>
  <c r="C2814" i="2"/>
  <c r="C2805" i="2"/>
  <c r="C2797" i="2"/>
  <c r="C2788" i="2"/>
  <c r="C2778" i="2"/>
  <c r="C2758" i="2"/>
  <c r="J2723" i="2"/>
  <c r="J2722" i="2"/>
  <c r="J2721" i="2"/>
  <c r="J2720" i="2"/>
  <c r="J2719" i="2"/>
  <c r="J2684" i="2"/>
  <c r="J2677" i="2"/>
  <c r="J2673" i="2"/>
  <c r="J2670" i="2"/>
  <c r="C2670" i="2"/>
  <c r="J2656" i="2"/>
  <c r="J2655" i="2"/>
  <c r="J2630" i="2"/>
  <c r="J2629" i="2"/>
  <c r="J2628" i="2"/>
  <c r="J2627" i="2"/>
  <c r="J2626" i="2"/>
  <c r="J2625" i="2"/>
  <c r="J2623" i="2"/>
  <c r="J2622" i="2"/>
  <c r="J2595" i="2"/>
  <c r="J2588" i="2"/>
  <c r="J2584" i="2"/>
  <c r="J2550" i="2"/>
  <c r="J2519" i="2"/>
  <c r="J2504" i="2"/>
  <c r="J2503" i="2"/>
  <c r="J2502" i="2"/>
  <c r="J2501" i="2"/>
  <c r="J2500" i="2"/>
  <c r="J2499" i="2"/>
  <c r="J2498" i="2"/>
  <c r="J2497" i="2"/>
  <c r="J2496" i="2"/>
  <c r="J2494" i="2"/>
  <c r="J2493" i="2"/>
  <c r="J2492" i="2"/>
  <c r="J2491" i="2"/>
  <c r="J2490" i="2"/>
  <c r="J2489" i="2"/>
  <c r="J2488" i="2"/>
  <c r="C2483" i="2"/>
  <c r="J2454" i="2"/>
  <c r="J2447" i="2"/>
  <c r="J2443" i="2"/>
  <c r="C2440" i="2"/>
  <c r="C2437" i="2"/>
  <c r="J2413" i="2"/>
  <c r="J2412" i="2"/>
  <c r="J2367" i="2"/>
  <c r="J2360" i="2"/>
  <c r="J2336" i="2"/>
  <c r="J2293" i="2"/>
  <c r="J2232" i="2"/>
  <c r="J2140" i="2"/>
  <c r="J2042" i="2"/>
  <c r="J2041" i="2"/>
  <c r="J2040" i="2"/>
  <c r="J2039" i="2"/>
  <c r="J2019" i="2"/>
  <c r="C2002" i="2"/>
  <c r="C1995" i="2"/>
  <c r="J1981" i="2"/>
  <c r="J1963" i="2"/>
  <c r="J1962" i="2"/>
  <c r="J1961" i="2"/>
  <c r="J1960" i="2"/>
  <c r="J1959" i="2"/>
  <c r="J1958" i="2"/>
  <c r="J1957" i="2"/>
  <c r="J1956" i="2"/>
  <c r="J1955" i="2"/>
  <c r="J1954" i="2"/>
  <c r="J1953" i="2"/>
  <c r="J1952" i="2"/>
  <c r="J1951" i="2"/>
  <c r="J1950" i="2"/>
  <c r="J1949" i="2"/>
  <c r="J1948" i="2"/>
  <c r="J1947" i="2"/>
  <c r="J1894" i="2"/>
  <c r="J1755" i="2"/>
  <c r="J1734" i="2"/>
  <c r="J1718" i="2"/>
  <c r="J1697" i="2"/>
  <c r="J1675" i="2"/>
  <c r="J1670" i="2"/>
  <c r="J1614" i="2"/>
  <c r="J1607" i="2"/>
  <c r="J1570" i="2"/>
  <c r="C1532" i="2"/>
  <c r="C1439" i="2"/>
  <c r="C1436" i="2"/>
  <c r="J1373" i="2"/>
  <c r="J1367" i="2"/>
  <c r="C1360" i="2"/>
  <c r="C1353" i="2"/>
  <c r="C1345" i="2"/>
  <c r="C1332" i="2"/>
  <c r="C1321" i="2"/>
  <c r="C1311" i="2"/>
  <c r="C1301" i="2"/>
  <c r="C1295" i="2"/>
  <c r="C1289" i="2"/>
  <c r="C1283" i="2"/>
  <c r="C1275" i="2"/>
  <c r="C1267" i="2"/>
  <c r="C1258" i="2"/>
  <c r="C1250" i="2"/>
  <c r="C1243" i="2"/>
  <c r="C1236" i="2"/>
  <c r="C1229" i="2"/>
  <c r="C1222" i="2"/>
  <c r="J1204" i="2"/>
  <c r="J1203" i="2"/>
  <c r="J1183" i="2"/>
  <c r="C1183" i="2"/>
  <c r="C1163" i="2"/>
  <c r="C1156" i="2"/>
  <c r="C1149" i="2"/>
  <c r="C1142" i="2"/>
  <c r="C1135" i="2"/>
  <c r="C1109" i="2"/>
  <c r="C1046" i="2"/>
  <c r="C1039" i="2"/>
  <c r="C1032" i="2"/>
  <c r="C1006" i="2"/>
  <c r="J957" i="2"/>
  <c r="J956" i="2"/>
  <c r="J928" i="2"/>
  <c r="J920" i="2"/>
  <c r="J915" i="2"/>
  <c r="J910" i="2"/>
  <c r="J904" i="2"/>
  <c r="J898" i="2"/>
  <c r="J892" i="2"/>
  <c r="J873" i="2"/>
  <c r="J867" i="2"/>
  <c r="J861" i="2"/>
  <c r="J855" i="2"/>
  <c r="J850" i="2"/>
  <c r="J844" i="2"/>
  <c r="J838" i="2"/>
  <c r="J832" i="2"/>
  <c r="J826" i="2"/>
  <c r="J820" i="2"/>
  <c r="J815" i="2"/>
  <c r="J809" i="2"/>
  <c r="J803" i="2"/>
  <c r="J791" i="2"/>
  <c r="C784" i="2"/>
  <c r="C778" i="2"/>
  <c r="C771" i="2"/>
  <c r="C764" i="2"/>
  <c r="C757" i="2"/>
  <c r="C750" i="2"/>
  <c r="C743" i="2"/>
  <c r="C736" i="2"/>
  <c r="C729" i="2"/>
  <c r="C722" i="2"/>
  <c r="C715" i="2"/>
  <c r="C708" i="2"/>
  <c r="C695" i="2"/>
  <c r="C684" i="2"/>
  <c r="C674" i="2"/>
  <c r="J415" i="2"/>
  <c r="J387" i="2"/>
  <c r="J384" i="2"/>
  <c r="J382" i="2"/>
  <c r="J381" i="2"/>
  <c r="J379" i="2"/>
  <c r="J377" i="2"/>
  <c r="J370" i="2"/>
  <c r="J363" i="2"/>
  <c r="C363" i="2"/>
  <c r="C360" i="2"/>
  <c r="J288" i="2"/>
  <c r="J246" i="2"/>
  <c r="J235" i="2"/>
  <c r="J225" i="2"/>
  <c r="J212" i="2"/>
  <c r="J207" i="2"/>
  <c r="J205" i="2"/>
  <c r="J204" i="2"/>
  <c r="J202" i="2"/>
  <c r="J147" i="2"/>
  <c r="J140" i="2"/>
  <c r="C140" i="2"/>
  <c r="J137" i="2"/>
  <c r="C137" i="2"/>
  <c r="J134" i="2"/>
  <c r="C134" i="2"/>
  <c r="J131" i="2"/>
  <c r="C131" i="2"/>
  <c r="C128" i="2"/>
  <c r="C125" i="2"/>
  <c r="C122" i="2"/>
  <c r="C119" i="2"/>
  <c r="C116" i="2"/>
  <c r="J113" i="2"/>
  <c r="C113" i="2"/>
  <c r="C110" i="2"/>
  <c r="J107" i="2"/>
  <c r="C107" i="2"/>
  <c r="J104" i="2"/>
  <c r="C104" i="2"/>
  <c r="C101" i="2"/>
  <c r="C98" i="2"/>
  <c r="J95" i="2"/>
  <c r="C95" i="2"/>
  <c r="C92" i="2"/>
  <c r="C89" i="2"/>
  <c r="C86" i="2"/>
  <c r="C83" i="2"/>
  <c r="C80" i="2"/>
  <c r="C77" i="2"/>
  <c r="C74" i="2"/>
  <c r="C71" i="2"/>
  <c r="C68" i="2"/>
  <c r="J65" i="2"/>
  <c r="C65" i="2"/>
  <c r="C62" i="2"/>
  <c r="J61" i="2"/>
  <c r="J53" i="2"/>
  <c r="J52" i="2"/>
  <c r="J39" i="2"/>
  <c r="J23" i="2"/>
  <c r="J16" i="2"/>
  <c r="C16" i="2"/>
  <c r="J13" i="2"/>
  <c r="C13" i="2"/>
  <c r="J7" i="2"/>
  <c r="A7" i="2"/>
  <c r="B52"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alcChain>
</file>

<file path=xl/sharedStrings.xml><?xml version="1.0" encoding="utf-8"?>
<sst xmlns="http://schemas.openxmlformats.org/spreadsheetml/2006/main" count="7387" uniqueCount="3644">
  <si>
    <t>SIR Json Dokumentation version 5.2 revision 34                                                                                 Skapad: 2025-10-24 10:01</t>
  </si>
  <si>
    <t>Inrapportering av intensivvårds-data för SIR
Huvud för hela JSON-filen.</t>
  </si>
  <si>
    <t>Beskrivning av filens informationens innehåll</t>
  </si>
  <si>
    <t>Information om ett vårdtillfälle</t>
  </si>
  <si>
    <t>Data om patienten</t>
  </si>
  <si>
    <t>Data om Vården för ett vårdtillfälle</t>
  </si>
  <si>
    <t>Huvudgrupp för operationskoder som omfattar koder för operationer utförda före vårdtillfället på IVA.
Operationer som skett under vårdtillfället skickas in under rubriken Åtgärder.</t>
  </si>
  <si>
    <t>AvståAvbrytaBehandling (förgångare till Behandlingsstrategi)
Kan rapporteras för vårdtillfällen inskrivna from 2007-05-31 tom 2013-12-31.
Fram till 2009-01-01 kunde version 1 rapporteras. Den har vi inte tagit hänsyn till.
Endast ett protokoll för behandlingsstrategi får anges för ett vårdtillfälle.
Man kan alltså inte ange både AvståAvbrytaBehandling och Behandlingsstrategi.</t>
  </si>
  <si>
    <t>Behandlingsstrategi
Kan rapporteras för vårdtillfällen inskrivna from 2013-01-01.
Endast ett protokoll för behandlingsstrategi får anges för ett vårdtillfälle.
Man kan alltså inte ange både AvståAvbrytaBehandling och Behandlingsstrategi.</t>
  </si>
  <si>
    <t>Riskbedömning SAPS3
Kan anges om Vårdtyp är IVA eller TIVA. Anges endast för patienter ≥ 16 år.</t>
  </si>
  <si>
    <t>IntensivvårdsHiggins, kan anges endast om Vårdtyp=”TIVA”</t>
  </si>
  <si>
    <t>Clinical Frailty Scale (CFS-9)
CFS kan anges för vårdtyperna IVA och TIVA
Frailty scale registreras som något av värdena 1-9.
SIR rekommenderar att frailty registreras från 16 års ålder
Vid valideringsnivå 'Alltid' ska alltid Bedömning eller Bortfallsorsak anges.</t>
  </si>
  <si>
    <t>Paediatric Index of Mortality. Version 2 (PIM2)</t>
  </si>
  <si>
    <t>Paediatric Index of Mortality. Version 3 (PIM3)</t>
  </si>
  <si>
    <t>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t>
  </si>
  <si>
    <t>Daglig SOFA
Registreringen av Daglig SOFA görs på förmiddagen vid tid som passar den enskilda intensivvårdsavdelningens rutiner bäst, vid samma tidpunkt varje dag.
Kan endast anges då Vårdtyp är IVA, BIVA eller TIVA och för patienter ≥ 16 år.</t>
  </si>
  <si>
    <t>Avser avlidna med avlidentidpunkt fr.o.m. 2009-01-01 t.o.m. 2015-12-31 enligt version 4 av protokollet.
Anges för Vårdtyperna IVA, TIVA eller BIVA</t>
  </si>
  <si>
    <t>Avser avlidna med avlidentidpunkt fr.o.m. 2016-01-01 t.o.m. 2019-12-31 enligt riktlinje
"Avliden på IVA Mätetal" baserat på nya mätetal för organdonation.
Anges för Vårdtyperna IVA, TIVA eller BIVA och det är de som avlider under intensivvård som ska registreras.</t>
  </si>
  <si>
    <t>Avser avlidna med avlidentidpunkt fr.o.m. 2020-01-01 enligt riktlinje
Anges för Vårdtyperna IVA, TIVA eller BIVA och det är de som avlider under intensivvård som ska registreras.</t>
  </si>
  <si>
    <t>Avser avlidna med avlidentidpunkt fr.o.m. 2024-01-01 enligt riktlinje
Anges för vårdtyperna IVA, TIVA eller BIVA och det är de som avlider under intensivvård som ska registreras.</t>
  </si>
  <si>
    <t>Är rekommenderat för vårdtyperna IVA, TIVA och BIVA.
Kan anges även för övriga vårdtyper.</t>
  </si>
  <si>
    <t>Komplikation från 2012 och framåt</t>
  </si>
  <si>
    <t>Varje indikator kan ha en poäng mellan 0 och 3.
En extrapoäng kan ges för indikatorerna 3, 5 och 10.
Den sammanlagda poängen kan dock ej vara mer än 3 poäng för varje enskild indikator, inklusive extrapoäng.
Upprepas för varje pass.</t>
  </si>
  <si>
    <t>Ny riktlinje som gäller för vårdtyngd för vårdtillfällen inskrivna from 2013-01-01.
VTS upprepas inom vårdtillfället för varje pass.
Kan anges för alla vårdtyperna.</t>
  </si>
  <si>
    <t>NEMS (Nine equivalents of nursing manpower use score)
http://www.icuregswe.org/Documents/Guidelines/Vardtyngd/NEMS_2015.pdf
Upprepas inom vårdtillfället för varje dygn. Kan anges för alla vårdtyperna.</t>
  </si>
  <si>
    <t>Åtgärd upprepas för varje åtgärd.
För närmare beskrivning av åtgärder hänvisas till riktlinjer på www.icuregswe.org
Alla enligt KVÅ-standard ska gå att skicka in. Åtgärdsluttid kan lämnas ”öppen” om ej utskriven
Om KVÅ-kod ska rapporteras som operationskod och därmed saknar en sluttid så ange åtgärdsgrupp X.
Sluttid kommer då inte att krävas.</t>
  </si>
  <si>
    <t>Diagnoskod upprepas för varje diagnos.
Anges för Vårdtyperna ”IVA”, ”TIVA” eller ”BIVA”.
Varje vårdtillfälle av dessa vårdtyper skall ha en Primär IVA-diagnos från SIR:s fastslagna lista.
Därutöver får valfritt antal andra diagnoser från listan eller hela ICD10-SE registreras.</t>
  </si>
  <si>
    <t>Sedering</t>
  </si>
  <si>
    <t>Omvärdnadvariabler smärta</t>
  </si>
  <si>
    <t>Omvårdnadvariabler sedering</t>
  </si>
  <si>
    <t>Omvårdnadsvariabler för Delirium</t>
  </si>
  <si>
    <t>Kan anges för alla vårdtillfällen av vårdtypen IVA, TIVA och BIVA och oberoende om en SAPS3-registrering finns eller ej.
Om SAPS3 används så måste Intagningsorsaker anges här för vårdtillfällen inskrivna from 2009-01-01.
Man kan ange intagningsorsaker för SAPS3 här även för vårdtillfällen före 2009-01-01, men då ska de inte anges i SAPS3-modulen,
där de annars normalt är placerade för vårdtillfällen med inskrivning tom 2008-12-31.
OBS! Samtliga intagningsorsaker får ej vara besvarade med ”Ingen”, minst en orsak måste anges.</t>
  </si>
  <si>
    <t>Information om försening av utskrivning</t>
  </si>
  <si>
    <t>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SOFA ska endast rapporteras t.o.m. 2025-01-01, därefter ska Daglig SOFA rapporteras i stället.</t>
  </si>
  <si>
    <t>Detta avsnitt ska endast vara med om fråga 7 besvarats och då besvarats med ”Nej”
Fråga 8: Om möjlig donator</t>
  </si>
  <si>
    <t>Fråga 9: Beslutades/Planerades organdonation?</t>
  </si>
  <si>
    <t>Möjlig organdokation 2016</t>
  </si>
  <si>
    <t>Vikt uppmätt mellan 07.00-06.59 kan noteras tillhörande dygnet.
Om flera vikter förekommer anges vikt under förmiddagen det dygn som avses.
Man kan hoppa över dygn om man saknar uppgift.</t>
  </si>
  <si>
    <t>BPS - Behavioral Pain Scale</t>
  </si>
  <si>
    <t>CPOT - Critical-Care Pain Observation Tool</t>
  </si>
  <si>
    <t>Uppföljning av åtgärder efter smärta</t>
  </si>
  <si>
    <t>NUDesc för Delirium med datum och pass</t>
  </si>
  <si>
    <t>Känd donatorinställning 2009</t>
  </si>
  <si>
    <t>Avlidnes inställning till organdonation</t>
  </si>
  <si>
    <t>Beslutades organdonation (2016)</t>
  </si>
  <si>
    <t>Generella Fotnoter för dokumentet</t>
  </si>
  <si>
    <t>&lt;SIRData&gt;</t>
  </si>
  <si>
    <t>Element</t>
  </si>
  <si>
    <t>"FilTyp"</t>
  </si>
  <si>
    <t>Någon av nedanstående konstanter</t>
  </si>
  <si>
    <t>Typ av fil, kan vara ”Intensivvårdsdata” eller "Intermiärvårdsdata"</t>
  </si>
  <si>
    <t>"Intensivvårdsdata"</t>
  </si>
  <si>
    <t>Import-fil med Intensivvårds data</t>
  </si>
  <si>
    <t>"Intermediärvårdsdata"</t>
  </si>
  <si>
    <t>Import-fil med Intermiärvårds-data</t>
  </si>
  <si>
    <t xml:space="preserve">Obligatoriskt </t>
  </si>
  <si>
    <t>"Innehåll"</t>
  </si>
  <si>
    <t>Beskrivning av filens innehåll</t>
  </si>
  <si>
    <t>"Vårdtillfällen"</t>
  </si>
  <si>
    <t>Alla rapporterade vårdtillfällen</t>
  </si>
  <si>
    <t>Värdet kan utelämnas</t>
  </si>
  <si>
    <t>Typ: Innehåll</t>
  </si>
  <si>
    <t>"Version"</t>
  </si>
  <si>
    <t>Anger version på filen. Skall sättas till ”5.2”.</t>
  </si>
  <si>
    <t>"5.1"</t>
  </si>
  <si>
    <t>Version 5.1 på indata</t>
  </si>
  <si>
    <t>"5.2"</t>
  </si>
  <si>
    <t>Version 5.2 på indata</t>
  </si>
  <si>
    <t>"Avdelningsnamn"</t>
  </si>
  <si>
    <t>Sträng</t>
  </si>
  <si>
    <t>Namnet på den rapporterande avdelningen. Om namnet skulle ändras måste detta
rapporteras till SIR:s registeransvariga för att inte fel skall uppstå.</t>
  </si>
  <si>
    <t>Texten får maximalt vara 50 tecken lång</t>
  </si>
  <si>
    <t>"PeriodStart"</t>
  </si>
  <si>
    <t>Datum i formatet 'yyyy-mm-dd'</t>
  </si>
  <si>
    <t>Anger startdatum (från och med) för urvalsperioden avseende inskrivningstid.</t>
  </si>
  <si>
    <t>"PeriodSlut"</t>
  </si>
  <si>
    <t>Anger slutdatum (till och med) för urvalsperioden avseende inskrivningstid.
Rapportfilen förväntas innehålla samtliga vårdtillfällen inom den angivna perioden. De vårdtillfällen som tidigare rapporterats i perioden och inte finns med i den nya filen kommer att raderas.
Varje rapport förväntas omfatta hela föregående år och all data för innevarande år!
Detta för att ha en medveten överlappning så att alla vårdtillfällen kommer med.
Äldre data kommer alltså att ersättas med färskare.  Således viss och successiv uppdatering av data.</t>
  </si>
  <si>
    <t>"Skapad"</t>
  </si>
  <si>
    <t>Anger datum då filen skapats
Ska alltid vara efter PeriodSlut</t>
  </si>
  <si>
    <t>Automatisk datakomplettering</t>
  </si>
  <si>
    <t>0.01</t>
  </si>
  <si>
    <t>Hämtar avdelningstyp för avdelning</t>
  </si>
  <si>
    <t>Validering</t>
  </si>
  <si>
    <t>0.02</t>
  </si>
  <si>
    <t>Kontrollerar så att avdelningen är godkänd, och att det är en intensivvårdsavdelning eller en intermiärvårdsavdelning.</t>
  </si>
  <si>
    <t>0.03</t>
  </si>
  <si>
    <t>Kontrollerar så att filtypen motsvarar avdelningstypen</t>
  </si>
  <si>
    <t>0.04</t>
  </si>
  <si>
    <t>Startdatum för filuttaget får inte vara före kompabilitetsdatumet (2012), men inte heller ligga i framtiden</t>
  </si>
  <si>
    <t>0.05</t>
  </si>
  <si>
    <t>PeriodSlut för filuttaget får inte ligga före PeriodStart men inte heller i framtiden</t>
  </si>
  <si>
    <t>0.06</t>
  </si>
  <si>
    <t>Datumet då filuttaget skapades får inte vara före PeriodSlut men inte eller i framtiden</t>
  </si>
  <si>
    <t>Typ: Vårdtillfälle</t>
  </si>
  <si>
    <t>"Persondata"</t>
  </si>
  <si>
    <t>Information om patienten</t>
  </si>
  <si>
    <t>"Vårddata"</t>
  </si>
  <si>
    <t>Vårddata om intensivvårdstillfället</t>
  </si>
  <si>
    <t>"PreOperationer"</t>
  </si>
  <si>
    <t>Huvudgrupp för operationskoder som omfattar koder för operationer utförda före vårdtillfället på IVA.
Operationer som skett under vårdtillfället skickas in under rubriken Åtgärder.</t>
  </si>
  <si>
    <t>"BehandlingsStrategiPre2014"</t>
  </si>
  <si>
    <t>Kan rapporteras för vårdtillfällen inskrivna tom 2013-12-31. Utgår 2014-01-01 och ska därefter inte anges i JSON-filen</t>
  </si>
  <si>
    <t>"BehandlingsStrategi2013"</t>
  </si>
  <si>
    <t>Kan rapporteras för vårdtillfällen inskrivna from 2013-01-01.  Avser protokollversion 3.0
Endast ett protokoll för behandlingsstrategi får anges för ett vårdtillfälle.  Man kan alltså inte ange både AvståAvbrytaBehandling och Behandlingsstrategi.</t>
  </si>
  <si>
    <t>"SAPS3"</t>
  </si>
  <si>
    <t>Kan anges om Vårdtyp är IVA eller TIVA. Anges endast för patienter ≥ 16 år.</t>
  </si>
  <si>
    <t>"Higgins"</t>
  </si>
  <si>
    <t>Kan anges endast om Vårdtyp=”TIVA”</t>
  </si>
  <si>
    <t>"ClinicalFrailtyScale"</t>
  </si>
  <si>
    <t>Clinical Frailty Scale (CFS-9)
CFS kan för vårdtyperna IVA och TIVA
Frailty registreras som något av värdena 1-9.
SIR rekommenderar att frailty registreras från 16 års ålder</t>
  </si>
  <si>
    <t>"PIM2"</t>
  </si>
  <si>
    <t>Paediatric Index of Mortality. Version 2 (PIM2)
Skall ej anges för vårdtillfällen inskrivna 2016-01-01 eller senare.
Ersatt av PIM3 from 2016.
Anges för Vårdtyperna ”IVA” eller ”BIVA”.
För patienter med vårdtyp IVA gäller ålder mindre än  16 år</t>
  </si>
  <si>
    <t>"PIM3"</t>
  </si>
  <si>
    <t>Paediatric Index of Mortality. Version 3 (PIM3)
Gäller för vårdtillfällen inskrivna 2016-01-01 eller senare.</t>
  </si>
  <si>
    <t>"SOFAData"</t>
  </si>
  <si>
    <t>Sequential Organ Failure Assessment (SOFA) severity of illness score for hospital mortality</t>
  </si>
  <si>
    <t>"DagligSOFA"</t>
  </si>
  <si>
    <t>Sequential Organ Failure Assessment (SOFA) severity of illness score for hospital mortality
Version för endast daglig förmiddags SOFA (gällande från 2023)</t>
  </si>
  <si>
    <t>"Avliden2009"</t>
  </si>
  <si>
    <t>AvlidnaPåIVA gäller för avlidna från och med 2009-01-01 till och med 2015-12-31</t>
  </si>
  <si>
    <t>"Avliden2016"</t>
  </si>
  <si>
    <t>AvlidnaPåIVA gäller för avlidna från och med 2016-01-01 till och med 2019-12-31</t>
  </si>
  <si>
    <t>"Avliden2020"</t>
  </si>
  <si>
    <t>AvlidnaPåIVA gäller för avlidna från och med 2020-01-01</t>
  </si>
  <si>
    <t>"Avliden2024"</t>
  </si>
  <si>
    <t>AvlidnaPåIVA gäller för avlidna från och med 2024-01-01</t>
  </si>
  <si>
    <t>"Viktochlängd"</t>
  </si>
  <si>
    <t>Vikt och längd
Vikt anges i kilo med en decimal.
Är rekommenderat för vårdtyperna IVA, TIVA och BIVA. Kan anges även för övriga vårdtyper.</t>
  </si>
  <si>
    <t>"Komplikationer2012"</t>
  </si>
  <si>
    <t>Registrering av vissa negativa händelser och komplikationer inom Intensivvård i Sverige.
Ny riktlinje som börjar gälla för händelser som inträffar vårdtillfällen inskrivna from 2012-01-01.</t>
  </si>
  <si>
    <t>"VTS5"</t>
  </si>
  <si>
    <t>Vårdtyngd Sverige 5.0
Kan rapporteras för vårdtillfällen inskrivna tom 2014-12-31.
Utgår 2015-01-01 och ska därefter inte anges i filen
VTS upprepas inom vårdtillfället för varje pass.
Kan anges för alla vårdtyperna.</t>
  </si>
  <si>
    <t>"VTS2014"</t>
  </si>
  <si>
    <t>Ny riktlinje som gäller för vårdtyngd för vårdtillfällen inskrivna from 2013-01-01.
VTS upprepas inom vårdtillfället för varje pass.
Kan anges för alla vårdtyperna.</t>
  </si>
  <si>
    <t>"NEMS"</t>
  </si>
  <si>
    <t>Upprepas inom vårdtillfället för varje dygn. Kan anges för alla vårdtyperna.</t>
  </si>
  <si>
    <t>"Åtgärder"</t>
  </si>
  <si>
    <t>Åtgärd upprepas för varje åtgärd.
För närmare beskrivning av åtgärder hänvisas till riktlinjer på www.icuregswe.org
Alla enligt KVÅ-standard ska gå att skicka in. Åtgärdsluttid kan lämnas ”öppen” om ej utskriven
Om KVÅ-kod ska rapporteras som operationskod och därmed saknar en sluttid så ange åtgärdsgrupp X.
Sluttid kommer då inte att krävas.</t>
  </si>
  <si>
    <t>"Diagnoser"</t>
  </si>
  <si>
    <t>"Sederingsmål"</t>
  </si>
  <si>
    <t>Mål för patientens sedering</t>
  </si>
  <si>
    <t>"OmvårdnadSmärta"</t>
  </si>
  <si>
    <t>Omvårdnadsdokumentation smärta</t>
  </si>
  <si>
    <t>"OmvårdnadSedering"</t>
  </si>
  <si>
    <t>Omvårdnadsdokumentation sedering</t>
  </si>
  <si>
    <t>"OmvårdnadDelirium"</t>
  </si>
  <si>
    <t>Omvårdnadsdokumentation delirium</t>
  </si>
  <si>
    <t>1.01</t>
  </si>
  <si>
    <t>Validera moduler som krävs/ej ska rapporteras för en avdelning</t>
  </si>
  <si>
    <t>1.02</t>
  </si>
  <si>
    <t>Validera så att inte samma idbegrepp används på fler än ett vårdtillfälle</t>
  </si>
  <si>
    <t>1.03</t>
  </si>
  <si>
    <t>Passinställninar måste finnas i SIR om VTS, NEMS, eller omvårdnadsvariabler ska rapporteras</t>
  </si>
  <si>
    <t>1.98</t>
  </si>
  <si>
    <t>Validerar tillåten handläggningstid för valideringsklara vårdtillfällen (körs sist)</t>
  </si>
  <si>
    <t>1.99</t>
  </si>
  <si>
    <t>Validerar överlappande vårdtillfällen (körs sist)</t>
  </si>
  <si>
    <t>Typ: PersonData</t>
  </si>
  <si>
    <t>"PersonnummerTyp"</t>
  </si>
  <si>
    <t>”Korrekt”, ”Reserv” eller ”Okänd”
Endast om ”Korrekt”, giltigt svenskt personnummer, kan uppföljning mot befolkningsregister göras.
”Hemlig” kan användas fram tom 2011-12-31 enligt tidigare specifikation.</t>
  </si>
  <si>
    <t>"Korrekt"</t>
  </si>
  <si>
    <t>Korrekt personnummer</t>
  </si>
  <si>
    <t>"Reserv"</t>
  </si>
  <si>
    <t>Reservnummer</t>
  </si>
  <si>
    <t>"Hemlig"</t>
  </si>
  <si>
    <t>Hemlig personnummer</t>
  </si>
  <si>
    <t>"Okänd"</t>
  </si>
  <si>
    <t>Personnummret på okänd person</t>
  </si>
  <si>
    <t>"Personnummer"</t>
  </si>
  <si>
    <t>Om typen är korrekt så måste det vara ett giltigt svenskt personnummer På formatet ”ååååmmdd-####”.  Sekel inkluderas.
Om ej typen ”Korrekt” så är formatet fritt och max 36 tecken får användas, inklusive ”-”.</t>
  </si>
  <si>
    <t>Texten får maximalt vara 36 tecken lång</t>
  </si>
  <si>
    <t>"Kön"</t>
  </si>
  <si>
    <t>”M” eller ”K”
Kön behöver inte anges om Personnrtyp är ”Korrekt”, i övriga fall ska det anges. Härleds då från personnummer om det utelämnats .
Om kön anges då personnummer är ”Korrekt” så måste angivet kön och könssiffran i personnumret stämma överens.
”?”  kan anges fram tom 2011-12-31 enligt tidigare specifikation.</t>
  </si>
  <si>
    <t>"M"</t>
  </si>
  <si>
    <t>Man</t>
  </si>
  <si>
    <t>"K"</t>
  </si>
  <si>
    <t>Kvinna</t>
  </si>
  <si>
    <t>"?"</t>
  </si>
  <si>
    <t>Okänt, ”?” kan anges fram tom 2011-12-31 enligt tidigare specifikation.</t>
  </si>
  <si>
    <t>"Födelsedatum"</t>
  </si>
  <si>
    <t>På formatet ”åååå-mm-dd”. Anges ej om Personnrtyp är ”Okänd”.
Födelsedata behöver inte anges om Personnrtyp är ”Korrekt”. Om det anges då Personnrtyp är ”Korrekt” så måste det stämma med personnumret.</t>
  </si>
  <si>
    <t>"Postnummer"</t>
  </si>
  <si>
    <t>Heltal</t>
  </si>
  <si>
    <t>Fem siffror. För person bosatt utom Sverige men inom EU anges 77777.
För person bosatt utom EU anges 88888. För okänt postnummer anges 99999.</t>
  </si>
  <si>
    <t>Värdet ska anges i intervallet 0 → 99999</t>
  </si>
  <si>
    <t>"Kommunkod"</t>
  </si>
  <si>
    <t>Kommunkod. Anges som siffror och inledande 0:a i länskoden kan uteslutas.
Koden är då tre eller fyrsiffrig och ska ej innehålla församlingskod.
Avser kommunkoden som var gällande vid vårdtillfället.</t>
  </si>
  <si>
    <t>Värdet ska anges i intervallet 100 → 9999</t>
  </si>
  <si>
    <t>"Länskod"</t>
  </si>
  <si>
    <t>Läns-kod kan anges, ej obligatoriskt, anges som siffra</t>
  </si>
  <si>
    <t>Värdet ska anges i intervallet 1 → 99</t>
  </si>
  <si>
    <t>2.01</t>
  </si>
  <si>
    <t>Födelsedatum och ålder härleds från angivet födelsedata eller om personnummertyp är 'Korrekt'</t>
  </si>
  <si>
    <t>2.02</t>
  </si>
  <si>
    <t>Om kön har utelämnats härleds det från ett 'korrekt' personnummer</t>
  </si>
  <si>
    <t>2.03</t>
  </si>
  <si>
    <t>Kommunkod och länskod kan härledas ur postnumret när endast en kommunkod finns</t>
  </si>
  <si>
    <t>2.04</t>
  </si>
  <si>
    <t>Födelsedata ska anges eller utelämnas beroende på personnummertyp:
	Om personnummertyp är 'Okänd' ska födelsedata ej anges
	Om personnummertyp är 'Reserv' ska födelsedata anges
	Om personnummertyp är 'Korrekt' härleds det från personnumret och födelsedata kan utelämnas
	OM födelsedata har angivits tillsammans med korrekt personnummer så måste födelsedatum stämma
Personnummertyp 'Hemlig' får bara anvädas fram tom 2011-12-31 och hanteras på samma sätt som 'Reserv'</t>
  </si>
  <si>
    <t>2.05</t>
  </si>
  <si>
    <t>Ålder får vara mellan 0 och 105 år</t>
  </si>
  <si>
    <t>2.06</t>
  </si>
  <si>
    <t>Då personnummertypen är 'Korrekt' ska ett giltigt svenskt personnummer rapporteras</t>
  </si>
  <si>
    <t>2.07</t>
  </si>
  <si>
    <t>Kön måste anges då Personnrtyp inte är angivet som 'Korrekt' (får saknas om ej valideringsklart) och då Personnrtyp är 'Korrekt' så måste angivet kön och könssiffran i personnumret stämma överens</t>
  </si>
  <si>
    <t>2.08</t>
  </si>
  <si>
    <t>Okänt kön registrerat som '?' kan bara anges fram tom 2011-12-31 (tillåtet om ej valideringsklart)</t>
  </si>
  <si>
    <t>2.09</t>
  </si>
  <si>
    <t>Validering av kommunkoden mot postnumret</t>
  </si>
  <si>
    <t>2.10</t>
  </si>
  <si>
    <t>Postnummer är obligatoriskt och anges med fem siffror. För person bosatt utanför Sverige men inom EU anges 77777. För person bosatt utanför EU anges 88888. För okänt postnummer anges 99999. (Kan ge fel om vårdtillfället är valideringsklart, annars varning.)</t>
  </si>
  <si>
    <t>Typ: VårdData</t>
  </si>
  <si>
    <t>"VårdtillfälletsStart"</t>
  </si>
  <si>
    <t>Datum och tid, i formatet 'yyyy-mm-ddThh:nn:ss'</t>
  </si>
  <si>
    <t>Vårdtillfällets start. Datum + tid på formatet ”åååå-mm-dd tt:mm”</t>
  </si>
  <si>
    <t>"Ankomsttid"</t>
  </si>
  <si>
    <t>Datum + tid på formatet ”åååå-mm-dd tt:mm”.
Obligatorisk from 2012-01-01 för vårdtyperna IVA, TIVA och BIVA.</t>
  </si>
  <si>
    <t>"Utskrivningstid"</t>
  </si>
  <si>
    <t>Datum + tid på formatet ”åååå-mm-dd tt:mm” eller ”Ej utskriven”
Om NULL så innebär det att personen ej är utskriven</t>
  </si>
  <si>
    <t>"ValideringsKlart"</t>
  </si>
  <si>
    <t>Värde av typen 'bool'</t>
  </si>
  <si>
    <t>Är vårdtillfället klart för slutvalidering?
Ska endast sättas till true om vårdtillfället är utskrivet (dvs Utskrivningstid är satt)
Om null så anses vårdtillfället vara valideringsklart om Utskrivningstid är satt.</t>
  </si>
  <si>
    <t>Godkända värden är 'true' eller 'false'</t>
  </si>
  <si>
    <t>"IdBegrepp"</t>
  </si>
  <si>
    <t>Internt Id-begrepp från IT-systemet.  Kan bestå av både siffror och bokstäver.
Används för att identifiera vårdtillfällen.
Detta begrepp kommer även att visas i kommentarslistan.
Tänk på att samma id-begrepp kan återkomma om man byter IT-system.
Man kan då tex skriva ett prefix eller postfix tillsammans med löpnumret för att undvika sammanblandning.
Maximalt 36 tecken kan användas. Id-begreppet tolkas avdelningsvis.</t>
  </si>
  <si>
    <t>"Vårdtyp"</t>
  </si>
  <si>
    <t>Följer definitioner i SIR:s riktlinjer.</t>
  </si>
  <si>
    <t>"HIA"</t>
  </si>
  <si>
    <t>Hjärtintensivvård - HIA</t>
  </si>
  <si>
    <t>"Postop"</t>
  </si>
  <si>
    <t>Postoperativ vård - Postop</t>
  </si>
  <si>
    <t>"IVA"</t>
  </si>
  <si>
    <t>Intensivvård - IVA</t>
  </si>
  <si>
    <t>"Övrig"</t>
  </si>
  <si>
    <t>Övrig vård - Övrig</t>
  </si>
  <si>
    <t>"TIVA"</t>
  </si>
  <si>
    <t>Thoraxintensivvård - TIVA</t>
  </si>
  <si>
    <t>"BIVA"</t>
  </si>
  <si>
    <t>Barnintensivvård - BIVA</t>
  </si>
  <si>
    <t>"IMA"</t>
  </si>
  <si>
    <t>Intermediärvård - IMA</t>
  </si>
  <si>
    <t>"Ankomstväg"</t>
  </si>
  <si>
    <t>Beskriver varifrån patienten kommer.</t>
  </si>
  <si>
    <t>"Akutmottagning"</t>
  </si>
  <si>
    <t>Akutmottagning</t>
  </si>
  <si>
    <t>"Vårdavdelning"</t>
  </si>
  <si>
    <t>Vårdavdelning</t>
  </si>
  <si>
    <t>"Operation"</t>
  </si>
  <si>
    <t>Operation</t>
  </si>
  <si>
    <t>"AnnanIVA"</t>
  </si>
  <si>
    <t>Annan IVA, Intensivvårdsavdelning</t>
  </si>
  <si>
    <t>"AnnatSjukhus"</t>
  </si>
  <si>
    <t>Vårdavdelning på annat sjukhus (ej IVA eller IMA)</t>
  </si>
  <si>
    <t>"PostOp"</t>
  </si>
  <si>
    <t>Postoperativ vård (på annan uppvakningsenhet)</t>
  </si>
  <si>
    <t>"KonverteradPostOp"</t>
  </si>
  <si>
    <t>Konvertering från vårdtyp 'Postop' på samma IVA</t>
  </si>
  <si>
    <t>"KonverteradHIA"</t>
  </si>
  <si>
    <t>Konvertering från vårdtyp HIA på samma IVA</t>
  </si>
  <si>
    <t>"KonverteradÖvrig"</t>
  </si>
  <si>
    <t>Konvertering från vårdtyp 'Övrig' på samma IVA</t>
  </si>
  <si>
    <t>"Hem"</t>
  </si>
  <si>
    <t>Hem</t>
  </si>
  <si>
    <t>"Förlossning"</t>
  </si>
  <si>
    <t>Förlossning</t>
  </si>
  <si>
    <t>"Intermediärvård"</t>
  </si>
  <si>
    <t>Intermediärvårdsenhet, Annan IMA</t>
  </si>
  <si>
    <t>"KonverteradIVA"</t>
  </si>
  <si>
    <t>Konverterad från vårdtyp 'IVA' på samma IVA</t>
  </si>
  <si>
    <t>"Specialistvårdsmottagning"</t>
  </si>
  <si>
    <t>Specialistvårdsmottagning</t>
  </si>
  <si>
    <t>"KonverteringTillIMA"</t>
  </si>
  <si>
    <t>Konvertering från annan vårdtyp till IMA på samma avdelning</t>
  </si>
  <si>
    <t>"Ankomstorsak"</t>
  </si>
  <si>
    <t>Obligatoriskt om Ankomstväg är ”Annan IVA” eller ”Annat sjukhus”.</t>
  </si>
  <si>
    <t>"Medicinsk"</t>
  </si>
  <si>
    <t>Medicinst indikation</t>
  </si>
  <si>
    <t>"Hemmahörande"</t>
  </si>
  <si>
    <t>Hemmahörande här</t>
  </si>
  <si>
    <t>"Resursbrist"</t>
  </si>
  <si>
    <t>Resursbrist hos avsändaren</t>
  </si>
  <si>
    <t>"Akutinläggning"</t>
  </si>
  <si>
    <t>”Ja” eller ”Nej”. Nej = Ej akut dvs planerad/elektiv. Ja = Akutinläggning dvs oplanerad</t>
  </si>
  <si>
    <t>"Opererad"</t>
  </si>
  <si>
    <t>”Nej” eller ”Ja-akut”, ”Ja-elektivt”
Avser opererad överhuvudtaget inom denna sammanhängande sjukhusvistelse oavsett antal sjukhus, kliniker eller IVA som patienten vårdats vid.
Obligatoriskt tom 2008-12-31.
From 2009-01-01 endast obligatorisk för IVA, BIVA och TIVA</t>
  </si>
  <si>
    <t>"Akut"</t>
  </si>
  <si>
    <t>Akut opererad</t>
  </si>
  <si>
    <t>"Elektivt"</t>
  </si>
  <si>
    <t>Elektivt opererad</t>
  </si>
  <si>
    <t>"Nej"</t>
  </si>
  <si>
    <t>Ej opererad</t>
  </si>
  <si>
    <t>"Opereradtid"</t>
  </si>
  <si>
    <t>Datum + tid på formatet ”åååå-mm-dd tt:mm” eller ”Ej utskriven” om vårdtillfället inte är utskrivet och tid ej ännu angivet.
Obligatoriskt om Opererad besvarats med ”Ja-akut” eller ”Ja-elektivt”, utelämnas annars.
Avser tiden för operationstid slut för den senaste operationen som föregår intagning till IVA.
Obligatoriskt from 2010-01-01 för IVA, BIVA och TIVA och avser opererad överhuvudtaget inom denna sammanhängande sjukhusvistelse oavsett antal sjukhus, kliniker eller IVA som patienten vårdats vid.
From 2013-01-01 så är den frivillig att ange.</t>
  </si>
  <si>
    <t>"UtskrivenTill"</t>
  </si>
  <si>
    <t>Vart patienten skickas.</t>
  </si>
  <si>
    <t>Annan vårdavdelning</t>
  </si>
  <si>
    <t>"Intensivvård"</t>
  </si>
  <si>
    <t>Konverterad till Intensivvård</t>
  </si>
  <si>
    <t>"EjUtskriven"</t>
  </si>
  <si>
    <t>Ej utskriven</t>
  </si>
  <si>
    <t>"Avliden"</t>
  </si>
  <si>
    <t>Avliden</t>
  </si>
  <si>
    <t>"KonverteradTillIMA"</t>
  </si>
  <si>
    <t>Konverterad till Intermediärvård</t>
  </si>
  <si>
    <t>"UtskrivningsOrsak"</t>
  </si>
  <si>
    <t>Orsak till utskrivningen
Obligatoriskt om Utskriventill är ”Annan IVA” eller ”Annat sjukhus”.</t>
  </si>
  <si>
    <t>Medicinsk indikation</t>
  </si>
  <si>
    <t>Hemmahörande där</t>
  </si>
  <si>
    <t>Resursbrist hos oss</t>
  </si>
  <si>
    <t>"Vårdresultat"</t>
  </si>
  <si>
    <t>Vård-resultat (förenklad form)</t>
  </si>
  <si>
    <t>"Levande"</t>
  </si>
  <si>
    <t>Levande</t>
  </si>
  <si>
    <t>"AvlidenTid"</t>
  </si>
  <si>
    <t>Tidpunkt för dödsfallets konstaterade på formatet ”åååå-mm-dd tt:mm”.
Skall endast anges då vårdresultat är ”Avliden” och är då obligatoriskt.</t>
  </si>
  <si>
    <t>"Moderklinik"</t>
  </si>
  <si>
    <t>Den klinik som står för merparten av vårdtillfället.</t>
  </si>
  <si>
    <t>"Internmedicin"</t>
  </si>
  <si>
    <t>Allmän internmedicin</t>
  </si>
  <si>
    <t>"Hematologi"</t>
  </si>
  <si>
    <t>Hematologi</t>
  </si>
  <si>
    <t>"Lungmedicin"</t>
  </si>
  <si>
    <t>Lungmedicin</t>
  </si>
  <si>
    <t>"Infektionssjukvård"</t>
  </si>
  <si>
    <t>Infektionssjukvård</t>
  </si>
  <si>
    <t>"Reumatologi"</t>
  </si>
  <si>
    <t>Reumatologi</t>
  </si>
  <si>
    <t>"Allergologi"</t>
  </si>
  <si>
    <t>Allergologi</t>
  </si>
  <si>
    <t>"Njurmedicin"</t>
  </si>
  <si>
    <t>Njurmedicin</t>
  </si>
  <si>
    <t>"Dialysvård"</t>
  </si>
  <si>
    <t>Dialysvård</t>
  </si>
  <si>
    <t>"Endokrinologi"</t>
  </si>
  <si>
    <t>Endokrinologi</t>
  </si>
  <si>
    <t>"Barnmedicin"</t>
  </si>
  <si>
    <t>Barnmedicin</t>
  </si>
  <si>
    <t>"Neonatal"</t>
  </si>
  <si>
    <t>Neonatal intensivvård</t>
  </si>
  <si>
    <t>"HudOchKönssjukvård"</t>
  </si>
  <si>
    <t>Hud och könssjukvård</t>
  </si>
  <si>
    <t>"Neurologi"</t>
  </si>
  <si>
    <t>Neurologi</t>
  </si>
  <si>
    <t>"Kardiologi"</t>
  </si>
  <si>
    <t>Kardiologi</t>
  </si>
  <si>
    <t>"GeriatrikAltLångvårdsmedicin"</t>
  </si>
  <si>
    <t>Geriatrik/långvårdsmedicin</t>
  </si>
  <si>
    <t>"AllmänKirurgi"</t>
  </si>
  <si>
    <t>Allmän kirurgi</t>
  </si>
  <si>
    <t>"Brännskadevård"</t>
  </si>
  <si>
    <t>Brännskadevård</t>
  </si>
  <si>
    <t>"OrtopediskKirurgi"</t>
  </si>
  <si>
    <t>Ortopedisk kirurgi</t>
  </si>
  <si>
    <t>"Handkirurgi"</t>
  </si>
  <si>
    <t>Handkirurgi</t>
  </si>
  <si>
    <t>"Neurokirurgi"</t>
  </si>
  <si>
    <t>Neurokirurgi</t>
  </si>
  <si>
    <t>"Thoraxkirurgi"</t>
  </si>
  <si>
    <t>Thoraxkirurgi</t>
  </si>
  <si>
    <t>"Plastikkirurgi"</t>
  </si>
  <si>
    <t>Plastikkirurgi</t>
  </si>
  <si>
    <t>"Urologi"</t>
  </si>
  <si>
    <t>Urologi</t>
  </si>
  <si>
    <t>"Transplantationskirurgi"</t>
  </si>
  <si>
    <t>Transplantationskirurgi</t>
  </si>
  <si>
    <t>"Barnkirurgi"</t>
  </si>
  <si>
    <t>Barnkirurgi</t>
  </si>
  <si>
    <t>"AnestesiOchIntensivvård"</t>
  </si>
  <si>
    <t>Anestesi och intensivvård</t>
  </si>
  <si>
    <t>"Gynekologi"</t>
  </si>
  <si>
    <t>Gynekologi</t>
  </si>
  <si>
    <t>"Förlossningsvård"</t>
  </si>
  <si>
    <t>Förlossningsvård</t>
  </si>
  <si>
    <t>"Ögonsjukvård"</t>
  </si>
  <si>
    <t>Ögonsjukvård</t>
  </si>
  <si>
    <t>"ÖronNäsaHals"</t>
  </si>
  <si>
    <t>Öron, näs och halssjukvård</t>
  </si>
  <si>
    <t>"MedicinskRehabilitering"</t>
  </si>
  <si>
    <t>Medicinsk rehabilitering</t>
  </si>
  <si>
    <t>"OralKirurgi"</t>
  </si>
  <si>
    <t>Specialisttandklinik för oral kirurgi</t>
  </si>
  <si>
    <t>"DiagnostiskRadiologi"</t>
  </si>
  <si>
    <t>Diagnostisk radiologi</t>
  </si>
  <si>
    <t>"OnkologiAllmän"</t>
  </si>
  <si>
    <t>Onkologi, allmän</t>
  </si>
  <si>
    <t>"OnkologiGynekologisk"</t>
  </si>
  <si>
    <t>Onkologi, gynekologisk</t>
  </si>
  <si>
    <t>"AllmänPsykiatri"</t>
  </si>
  <si>
    <t>Allmän psykiatri</t>
  </si>
  <si>
    <t>"BarnOchUngdomspsykiatri"</t>
  </si>
  <si>
    <t>Barn och ungdomspsykiatri</t>
  </si>
  <si>
    <t>"Intagningsorsaker"</t>
  </si>
  <si>
    <t>Kan anges för alla vårdtillfällen av vårdtypen IVA, TIVA och BIVA och oberoende om en SAPS3-registrering finns eller ej.
Om SAPS3 används så måste Intagningsorsaker anges här för vårdtillfällen inskrivna from 2009-01-01.
Man kan ange intagningsorsaker för SAPS3 här även för vårdtillfällen före 2009-01-01, men då ska de inte anges i SAPS3-modulen, där de annars normalt är placerade för vårdtillfällen med inskrivning tom 2008-12-31.</t>
  </si>
  <si>
    <t>"FörsenadUtskrivning"</t>
  </si>
  <si>
    <t>Försenad utskrivning, kan anges för vårdtypen IMA</t>
  </si>
  <si>
    <t>3.00</t>
  </si>
  <si>
    <t>Vårdtillfällets start får inte ligga utanför perioden för filuttaget som anges i 'Innehåll'.</t>
  </si>
  <si>
    <t>3.01</t>
  </si>
  <si>
    <t>Ankomsttid får inte ligga före vårdtillfällets start eller efter utskrivningstiden</t>
  </si>
  <si>
    <t>3.02</t>
  </si>
  <si>
    <t>'Ankomsttid' är obligatorisk from 2012-01-01 för vårdtyperna IVA, TIVA och BIVA. (Kan ge fel om vårdtillfället är valideringsklart, annars varning)</t>
  </si>
  <si>
    <t>3.03</t>
  </si>
  <si>
    <t>Utskrivningstiden ska ligga efter Vårdtillfällets start och får inte ligga efter datumet då filen skapades.</t>
  </si>
  <si>
    <t>3.04</t>
  </si>
  <si>
    <t>Idbegrepp är obligatoriskt att ange</t>
  </si>
  <si>
    <t>3.05</t>
  </si>
  <si>
    <t xml:space="preserve">Vårdtypen BIVA får endas användas på BIVA-avdelningar. Regel för ålder och vårdtypen BIVA har ändrats över tid:	Före 2011 ska alla intensivvårdspatienter på en BIVA ha vårdtypen BIVA	From 2011 till 2016 ska alla yngre än 16 år vara BIVA. Mellan 16 och 24 år kan de vara antingen BIVA eller IVA. 24 år och äldre ska de vara IVA	From 2016 ska alla yngre än 16 år ha vårdtypen BIVA. 16 år och äldre ska ha vårdtypen IVA </t>
  </si>
  <si>
    <t>3.06</t>
  </si>
  <si>
    <t>'Ankomstorsak' är obligatorisk om Ankomstväg är 'Annan IVA' eller 'Annat sjukhus'</t>
  </si>
  <si>
    <t>3.07</t>
  </si>
  <si>
    <t>'Opererad' måste besvaras för samtliga vårdtillfällen före 2009 och för de med vårdtyp IVA, BIVA och TIVA from 2009</t>
  </si>
  <si>
    <t>3.08</t>
  </si>
  <si>
    <t>Opereradtid ska inte besvaras om Opererad inte besvarats eller besvarats med Nej. Opereradtid kan inte heller vara efter inskrivningstiden och får ligga högst 5 år bakåt i tiden</t>
  </si>
  <si>
    <t>3.09</t>
  </si>
  <si>
    <t>Opereradtid ska vara obligatoriskt då Opererad inte besvarats med 'Nej' för intensivvårdstillfällen inskrivna i perioden 2010-01-01 - 2013-01-01 (Utvärderas endast om vårdtillfället är valideringsklart)</t>
  </si>
  <si>
    <t>3.10</t>
  </si>
  <si>
    <t>'Utskriven till' ska vara 'Avliden' endast då vårdresultatet är 'Avliden'</t>
  </si>
  <si>
    <t>3.11</t>
  </si>
  <si>
    <t>Utskrivningsorsak måste anges om 'Utskriven till' är 'Annan IVA' eller 'Annat sjukhus' (ger endast varning om ej valideringsklart)</t>
  </si>
  <si>
    <t>3.12</t>
  </si>
  <si>
    <t>AvlidenTid måste ligga mellan vårdtillfällets start och utskrivningstiden och ska endast anges om vårdresultat är Avliden</t>
  </si>
  <si>
    <t>3.13</t>
  </si>
  <si>
    <t>'AvlidenTid' måste anges när vårdresultat är 'Avliden' och vårdtillfället är valideringsklart (Utvärderas endast om vårdtillfället är valideringsklart)</t>
  </si>
  <si>
    <t>3.14</t>
  </si>
  <si>
    <t>Intagningsorsaker ska inte rapporteras om man satt valideringsnivå till Aldrig om inte SAPS3 finns rapporterad (Utvärderas endast om vårdtillfället är valideringsklart)</t>
  </si>
  <si>
    <t>3.15</t>
  </si>
  <si>
    <t>Om 'Endast observation' är 'Ja', ska ingen av intagningsorsakerna anges</t>
  </si>
  <si>
    <t>3.16</t>
  </si>
  <si>
    <t>Då vårdtillfället är valideringsklart måste 'Utskriven till' och 'Vårdresultat' vara angivna. (Utvärderas endast om vårdtillfället är valideringsklart)</t>
  </si>
  <si>
    <t>3.17</t>
  </si>
  <si>
    <t>Vårdtillfälle med Postoperativ vård får inte vara längre än 40 timmar</t>
  </si>
  <si>
    <t>3.18</t>
  </si>
  <si>
    <t>Ett vårdtillfälle får inte ha en utskrivningstid som ligger mer än en vecka efter avlidentiden. Ger varning from 2016-01-01 och fel from 2016-10-01</t>
  </si>
  <si>
    <t>3.19</t>
  </si>
  <si>
    <t>Alla intagningsorsaker får ej anges som 'Inget' om 'Endast observation' är 'Nej' (Utvärderas endast om vårdtillfället är valideringsklart)</t>
  </si>
  <si>
    <t>3.20</t>
  </si>
  <si>
    <t>Alla intagningsorsaker måste anges om 'Endast observation' är 'Nej', 'Saknas' är inte ett godkänt svar</t>
  </si>
  <si>
    <t>3.21</t>
  </si>
  <si>
    <t>Om vårdresultat avliden så kontrolleras här om något annat vårdtillfälle rapporterat samma person som avliden</t>
  </si>
  <si>
    <t>3.22</t>
  </si>
  <si>
    <t>Om utskrivningstid ej är angiven så kan ej vårdtillfället sättas som valideringsklart</t>
  </si>
  <si>
    <t>3.23</t>
  </si>
  <si>
    <t>Handläggningstiden för utskrivna, ej valideringsklara, vårdtillfällen får ej överskrida 90 dagar</t>
  </si>
  <si>
    <t>3.24</t>
  </si>
  <si>
    <t>Försenad utskrivning ska endast rapporteras för Vårdtyp IMA (krävs angiven från och med 2026-01-01)</t>
  </si>
  <si>
    <t>3.25</t>
  </si>
  <si>
    <t>Ej tillåtna vårdtyper på IMA-avdelning</t>
  </si>
  <si>
    <t>3.26</t>
  </si>
  <si>
    <t>'Specialistvårdsmottagning' och 'Konvertering från annan vårdtyp till IMA på samma avdelning' får endast användas på IMA</t>
  </si>
  <si>
    <t>Typ: PreOperationskoder</t>
  </si>
  <si>
    <t>"DatumTid"</t>
  </si>
  <si>
    <t>Datum + tid på formatet ”åååå-mm-dd tt:mm” då operationssessionen avslutats.</t>
  </si>
  <si>
    <t>"OperationsKoder"</t>
  </si>
  <si>
    <t>Lista med strängar</t>
  </si>
  <si>
    <t>PreVtfOpkod upprepas för varje operationskod inom sessionen.
Huvudingreppet anges först.
Koder enligt KVÅ</t>
  </si>
  <si>
    <t>Texten får maximalt vara 5 tecken lång</t>
  </si>
  <si>
    <t>5.01</t>
  </si>
  <si>
    <t>PRE-operationer måste vara avslutade före vårdtillfällets start</t>
  </si>
  <si>
    <t>5.02</t>
  </si>
  <si>
    <t>PRE-operationskoder måste vara giltiga KVÅ-koder</t>
  </si>
  <si>
    <t>5.03</t>
  </si>
  <si>
    <t>Validerar om Opererad är besvarad korrekt (Kan ge fel om vårdtillfället är valideringsklart, annars varning.)</t>
  </si>
  <si>
    <t>Typ: BehandlingsStrategiPre2014</t>
  </si>
  <si>
    <t>"BeslutTagetVidInskrivning"</t>
  </si>
  <si>
    <t>Beslut taget vid inskrivning eller om patienten har  behandlingsbegränsningar vid inskrivningen</t>
  </si>
  <si>
    <t>"TidBeslutEfterInskrivning"</t>
  </si>
  <si>
    <t>Om beslutet inte var taget vid inskrivning så ska tidpunkten anges på formatet ”åååå-mm-dd tt:mm” när beslutet togs
Om ej BeslutTagetVidInskrivning så måste ett värde finnas</t>
  </si>
  <si>
    <t>"SamrådInnanBeslut"</t>
  </si>
  <si>
    <t>Ett eller flera av nedanstående konstanter
Värdet 'Ingen' får endast existera ensamt, och ej i kombination med något annat värde.</t>
  </si>
  <si>
    <t>Samråd innan beslut har gjorts med följande</t>
  </si>
  <si>
    <t>"Ingen"</t>
  </si>
  <si>
    <t>Ingen</t>
  </si>
  <si>
    <t>"Läkare"</t>
  </si>
  <si>
    <t>Ansvarig läkare på hemklinik</t>
  </si>
  <si>
    <t>"Patient"</t>
  </si>
  <si>
    <t>Patient</t>
  </si>
  <si>
    <t>"Närstående"</t>
  </si>
  <si>
    <t>Närstående</t>
  </si>
  <si>
    <t>"Vårdpersonal"</t>
  </si>
  <si>
    <t>Vårdpersonal</t>
  </si>
  <si>
    <t>"BeslutISamförståndMed"</t>
  </si>
  <si>
    <t>Beslut har tagits av intensivvårdsansvarig läkare i samförstånd med</t>
  </si>
  <si>
    <t>"BehandlingsBegränsningar"</t>
  </si>
  <si>
    <t>Behandlingsbegränsningar
Om inga behandlingsbegränsniongar så ska man avsluta här.</t>
  </si>
  <si>
    <t>"Beslutsgrunder"</t>
  </si>
  <si>
    <t>Ett eller flera av nedanstående konstanter</t>
  </si>
  <si>
    <t>Beslutsgrunder för att avstå/avbryta behandling</t>
  </si>
  <si>
    <t>"Autonomi"</t>
  </si>
  <si>
    <t>Autonomi</t>
  </si>
  <si>
    <t>"Akuta"</t>
  </si>
  <si>
    <t>Akuta sjukdomens dåliga prognos</t>
  </si>
  <si>
    <t>"Kroniska"</t>
  </si>
  <si>
    <t>Kroniska sjukdomens dåliga prognos</t>
  </si>
  <si>
    <t>"Terapisvikt"</t>
  </si>
  <si>
    <t>Terapisvikt</t>
  </si>
  <si>
    <t>"SviktandeOrgansystem"</t>
  </si>
  <si>
    <t>Information om sviktande organsystem</t>
  </si>
  <si>
    <t>"Cirkulation"</t>
  </si>
  <si>
    <t>Cirkulation</t>
  </si>
  <si>
    <t>"Andning"</t>
  </si>
  <si>
    <t>Andning</t>
  </si>
  <si>
    <t>"GIkanalen"</t>
  </si>
  <si>
    <t>G-I kanalen</t>
  </si>
  <si>
    <t>"Njurar"</t>
  </si>
  <si>
    <t>Njurar</t>
  </si>
  <si>
    <t>"Lever"</t>
  </si>
  <si>
    <t>Lever</t>
  </si>
  <si>
    <t>"HematologiAltKoagulation"</t>
  </si>
  <si>
    <t>Hematologi/koagulation</t>
  </si>
  <si>
    <t>"Avstå"</t>
  </si>
  <si>
    <t>Ett eller flera av nedanstående konstanter
Värdet 'Inget' får endast existera ensamt, och ej i kombination med något annat värde.</t>
  </si>
  <si>
    <t>Beslut om att avstå behandling</t>
  </si>
  <si>
    <t>"Inget"</t>
  </si>
  <si>
    <t>Inget</t>
  </si>
  <si>
    <t>"InvasivVent"</t>
  </si>
  <si>
    <t>Invasiv ventilatorbehandling</t>
  </si>
  <si>
    <t>"NoninvasivVent"</t>
  </si>
  <si>
    <t>Noninvasiv ventilatorbehandling</t>
  </si>
  <si>
    <t>"Dialys"</t>
  </si>
  <si>
    <t>Dialys</t>
  </si>
  <si>
    <t>"HLR"</t>
  </si>
  <si>
    <t>HLR/AHLR - HjärtLungräddning alt. avancerad hjärtlungräddning</t>
  </si>
  <si>
    <t>"Blodtransfusion"</t>
  </si>
  <si>
    <t>Blodtransfusion</t>
  </si>
  <si>
    <t>"VasoaktivaLäkemedel"</t>
  </si>
  <si>
    <t>Vasoaktiva läkemedel</t>
  </si>
  <si>
    <t>"Antibiotika"</t>
  </si>
  <si>
    <t>Antibiotika</t>
  </si>
  <si>
    <t>"Nutrition"</t>
  </si>
  <si>
    <t>Nutrition</t>
  </si>
  <si>
    <t>"Pacemaker"</t>
  </si>
  <si>
    <t>Pacemaker</t>
  </si>
  <si>
    <t>"Övrigt"</t>
  </si>
  <si>
    <t>Övrigt</t>
  </si>
  <si>
    <t>"Avbryta"</t>
  </si>
  <si>
    <t>Beslut om att avbryta behandling</t>
  </si>
  <si>
    <t>6.01</t>
  </si>
  <si>
    <t>Endast en version av protokollet för behandlingsstrategi får användas för ett vårdtillfälle</t>
  </si>
  <si>
    <t>6.02</t>
  </si>
  <si>
    <t>Tid för beslut ska alltid rapporteras om beslutet inte har tagits före inskrivning på IVA</t>
  </si>
  <si>
    <t>6.03</t>
  </si>
  <si>
    <t>Tid för beslut måste ligga inom vårdtillfället</t>
  </si>
  <si>
    <t>6.04</t>
  </si>
  <si>
    <t>Samråd är obligatoriskt att rapportera</t>
  </si>
  <si>
    <t>6.05</t>
  </si>
  <si>
    <t>Beslut är obligatoriskt att rapportera</t>
  </si>
  <si>
    <t>6.06</t>
  </si>
  <si>
    <t>Om 'Inga begränsningar' har rapporterats ska protokollet avslutas efter Behandlingsstrategi</t>
  </si>
  <si>
    <t>6.07</t>
  </si>
  <si>
    <t>Beslutsgrunder ska alltid besvaras när man rapporterar behandlingsstrategin Behandlingsbegränsningar</t>
  </si>
  <si>
    <t>6.08</t>
  </si>
  <si>
    <t>Sviktande organsystem ska alltid besvaras när man har behandlingsstrategin Behandlingsbegränsningar</t>
  </si>
  <si>
    <t>6.09</t>
  </si>
  <si>
    <t>Avstå ska alltid besvaras när man har behandlingsstrategin Behandlingsbegränsningar</t>
  </si>
  <si>
    <t>6.10</t>
  </si>
  <si>
    <t>Avbryta ska alltid besvaras när man har behandlingsstrategin Behandlingsbegränsningar</t>
  </si>
  <si>
    <t>6.11</t>
  </si>
  <si>
    <t>Man får inte besvara både 'Avstå' och 'Avbryta' med 'Inget'</t>
  </si>
  <si>
    <t>Typ: BehandlingsStrategi2013</t>
  </si>
  <si>
    <t>"DokumenteratBeslut"</t>
  </si>
  <si>
    <t>Om ”Dokumenterat beslut saknas” anges så skall det vara det enda rapporterade Behandlingsbeslutet och protokollet avslutas här.</t>
  </si>
  <si>
    <t>"Inga"</t>
  </si>
  <si>
    <t>Inga behandlingsbegränsningar</t>
  </si>
  <si>
    <t>"Behandlingsbegränsningar"</t>
  </si>
  <si>
    <t>Behandlingsbegränsningar</t>
  </si>
  <si>
    <t>"BeslutSaknas"</t>
  </si>
  <si>
    <t>Dokumenterat beslut saknas, Om dokumenterat beslut saknas så ska protokollet avslutas</t>
  </si>
  <si>
    <t>"BeslutTagetFöreIva"</t>
  </si>
  <si>
    <t>Är tidpunkten för det dokumenterade beslutet taget före IVA</t>
  </si>
  <si>
    <t>"TidBeslut"</t>
  </si>
  <si>
    <t>Tidpunkt för beslut på formatet ”åååå-mm-dd tt:mm” eller
Om NULL så antas att beslut är taget före IVA</t>
  </si>
  <si>
    <t>Beslutsgrunder för valen, ett eller flera val.</t>
  </si>
  <si>
    <t>Patientens eget beslut (autonomi)</t>
  </si>
  <si>
    <t>"Annan"</t>
  </si>
  <si>
    <t>Annan</t>
  </si>
  <si>
    <t>"Samråd"</t>
  </si>
  <si>
    <t>Samråd innan beslut har gjorts med följande
En rad per svarsalternativ.</t>
  </si>
  <si>
    <t>"Legitimerad"</t>
  </si>
  <si>
    <t>Legitimerad yrkesutövare</t>
  </si>
  <si>
    <t>Behandlingar som avstås ifrån</t>
  </si>
  <si>
    <t>"Njurersättningsterapi"</t>
  </si>
  <si>
    <t>Njurersättningsterapi (CRRT/Dialys)</t>
  </si>
  <si>
    <t>"HjärtLungRäddning"</t>
  </si>
  <si>
    <t>Hjärt-lungräddning</t>
  </si>
  <si>
    <t>Behandlingar som avbryts</t>
  </si>
  <si>
    <t>7.01</t>
  </si>
  <si>
    <t>Ta bort konsekutiva 'Inga behandlingbegränsningar' beslut, under ett vårdtillfälle</t>
  </si>
  <si>
    <t>7.02</t>
  </si>
  <si>
    <t>Om Dokumenterat beslut saknas har rapporterats så ska detta vara det enda beslutet</t>
  </si>
  <si>
    <t>7.03</t>
  </si>
  <si>
    <t>Protokollet ska avslutas efter 'DokumenteratBeslut' om svaret 'Dokumenterat beslut saknas' har angivits</t>
  </si>
  <si>
    <t>7.04</t>
  </si>
  <si>
    <t>Tid för beslut ska alltid rapporteras om inte 'Dokumenterat beslut saknas' har angivits</t>
  </si>
  <si>
    <t>7.05</t>
  </si>
  <si>
    <t>Tidpunkten för beslutet måste ligga inom vårdtillfället</t>
  </si>
  <si>
    <t>7.06</t>
  </si>
  <si>
    <t>Protokollet ska avslutas efter 'TidBeslut' om 'Inga behandlingsbegränsningar' har rapporterats</t>
  </si>
  <si>
    <t>7.07</t>
  </si>
  <si>
    <t>Protokollet ska avslutas om man har rapporterat 'Behandlingsbegränsningar' när valideringsnivå är Alltid</t>
  </si>
  <si>
    <t>7.08</t>
  </si>
  <si>
    <t>Alla frågor i protokollet måste vara besvarade om man har valideringsnivå Fullständig krävs</t>
  </si>
  <si>
    <t>7.09</t>
  </si>
  <si>
    <t>Om man har valideringsnivå Valfritt ska antingen alla frågor i protokollet eller inga alls vara besvarade</t>
  </si>
  <si>
    <t>7.10</t>
  </si>
  <si>
    <t>Det går inte att besvara både 'Avstå' och 'Avbryta' med 'Ingen'</t>
  </si>
  <si>
    <t>7.11</t>
  </si>
  <si>
    <t>Två beslut med samma tidpunkt får inte förekomma</t>
  </si>
  <si>
    <t>Typ: SAPS3</t>
  </si>
  <si>
    <t>Delsumma I – Patienten före intagning</t>
  </si>
  <si>
    <t>"CancerTerapi"</t>
  </si>
  <si>
    <t>CancerTerapi</t>
  </si>
  <si>
    <t>"KroniskHjärtsvikt"</t>
  </si>
  <si>
    <t>Kronisk hjärtsvikt</t>
  </si>
  <si>
    <t>"Blodmalignitet"</t>
  </si>
  <si>
    <t>Blodmalignitet</t>
  </si>
  <si>
    <t>"Cirrhos"</t>
  </si>
  <si>
    <t>Cirrhos</t>
  </si>
  <si>
    <t>"AIDS"</t>
  </si>
  <si>
    <t>AIDS</t>
  </si>
  <si>
    <t>"Cancer"</t>
  </si>
  <si>
    <t>Cancer</t>
  </si>
  <si>
    <t>"TidPåSjukhus"</t>
  </si>
  <si>
    <t>Tid på sjukhus (antal dagar)</t>
  </si>
  <si>
    <t>Mätenhet (d) - Antal dagar</t>
  </si>
  <si>
    <t>"Vårdplats"</t>
  </si>
  <si>
    <t>Vårdplats, annan enhet</t>
  </si>
  <si>
    <t>Annan IVA</t>
  </si>
  <si>
    <t>"AnnanAvdelning"</t>
  </si>
  <si>
    <t>Vårdavdelning, annan enhet</t>
  </si>
  <si>
    <t>"Uppvakning"</t>
  </si>
  <si>
    <t>Uppvakning</t>
  </si>
  <si>
    <t>"Intermediär"</t>
  </si>
  <si>
    <t>Intermediär (IVA/Post-op)</t>
  </si>
  <si>
    <t>"Terapi"</t>
  </si>
  <si>
    <t>Terapi innan inläggning</t>
  </si>
  <si>
    <t>Nej</t>
  </si>
  <si>
    <t>"VasoaktivaFarmaka"</t>
  </si>
  <si>
    <t>Vasoaktiva farmaka</t>
  </si>
  <si>
    <t>"Operationstyp"</t>
  </si>
  <si>
    <t>Måste besvaras om Akut eller Elektiv kirurgi. ”Transplantation”, ”Isolerat trauma”, ”Multipelt trauma”, ”Hjärtkirurgi”, ”Neurokirurgi” och ”Övrig kirurgi”</t>
  </si>
  <si>
    <t>"Transplantation"</t>
  </si>
  <si>
    <t>Transplantation: Lever, njure, pankreas, njure och pankreas, övriga</t>
  </si>
  <si>
    <t>"IsoleratTrauma"</t>
  </si>
  <si>
    <t>Isolerat trauma (inkluderar bröstkorg, bukhåla, extremiteter)</t>
  </si>
  <si>
    <t>"MultipeltTrauma"</t>
  </si>
  <si>
    <t>Multipelt trauma</t>
  </si>
  <si>
    <t>"Hjärtkirurgi"</t>
  </si>
  <si>
    <t>Hjärtkirurgi: CABG utan klaffkirurgi</t>
  </si>
  <si>
    <t>Neurokirurgi: Cerebrovaskulär kirurgi</t>
  </si>
  <si>
    <t>Övrig kirurgi</t>
  </si>
  <si>
    <t>"AkutInfNosokomial"</t>
  </si>
  <si>
    <t>Fanns Akut infektion vid inläggning,  Nosokomial</t>
  </si>
  <si>
    <t>"AkutInfDjupLuftväg"</t>
  </si>
  <si>
    <t>Fanns Akut infektion vid inläggning, Djup luftväg</t>
  </si>
  <si>
    <t xml:space="preserve"> Delsumma III – Förekomst och grad av fysiologisk störning. Antingen GCS eller RLS85 anges eller båda. Om både GCS och RLS85 är angivet så används GCS vid beräkning.</t>
  </si>
  <si>
    <t>"GCSÖgon"</t>
  </si>
  <si>
    <t>Glasgow Coma Scale - Ögon</t>
  </si>
  <si>
    <t>"1"</t>
  </si>
  <si>
    <t>Ingen ögonöppning vid smärtstimulering</t>
  </si>
  <si>
    <t>"2"</t>
  </si>
  <si>
    <t>Ögonen öppnas efter smärtstimulering</t>
  </si>
  <si>
    <t>"3"</t>
  </si>
  <si>
    <t>Ögonen öppnas vid tilltal</t>
  </si>
  <si>
    <t>"4"</t>
  </si>
  <si>
    <t>Ögonen hålls spontant öppna</t>
  </si>
  <si>
    <t>"GCSVerbal"</t>
  </si>
  <si>
    <t>Glasgow Coma Scale - Verbal</t>
  </si>
  <si>
    <t>Ingen reaktion på tilltal</t>
  </si>
  <si>
    <t>Reagerar på tilltal med oartikulerat ljud</t>
  </si>
  <si>
    <t>Reagerar på tilltal med enstaka ord</t>
  </si>
  <si>
    <t>Desorienterad/konfusionell</t>
  </si>
  <si>
    <t>"5"</t>
  </si>
  <si>
    <t>Patienten är fullt orienterad</t>
  </si>
  <si>
    <t>"GCSMotorik"</t>
  </si>
  <si>
    <t>Glasgow Coma Scale - Motorisk</t>
  </si>
  <si>
    <t>Ingen reaktion vid smärtstimulering</t>
  </si>
  <si>
    <t>Patienten sträcker armbågen (extension) vid smärtstimulering</t>
  </si>
  <si>
    <t>Patienten böjer armbågen (flexion) vid smärtstimulering</t>
  </si>
  <si>
    <t>Patienten drar undan armen vid smärtstimulering av fingernagelbädd</t>
  </si>
  <si>
    <t>Patienten lokaliserar smärta</t>
  </si>
  <si>
    <t>"6"</t>
  </si>
  <si>
    <t>Patienten åtlyder uppmaning adekvat</t>
  </si>
  <si>
    <t>"RLS85"</t>
  </si>
  <si>
    <t>Reaction Level Scale -85 classification (RLS-85)</t>
  </si>
  <si>
    <t>Fullt vaken</t>
  </si>
  <si>
    <t>Något slö, somnar lätt</t>
  </si>
  <si>
    <t>Svarar trögt, lyder enkla uppmaningar</t>
  </si>
  <si>
    <t>Svarar ej eller obegripligt</t>
  </si>
  <si>
    <t>Adekvat smärtreaktion, drar undan</t>
  </si>
  <si>
    <t>Inadekvat smärtreaktion, böjer</t>
  </si>
  <si>
    <t>"7"</t>
  </si>
  <si>
    <t>Inadekvat smärtreaktion, sträcker</t>
  </si>
  <si>
    <t>"8"</t>
  </si>
  <si>
    <t>Reagerar ej på smärtstimuli</t>
  </si>
  <si>
    <t>"Bilirubin"</t>
  </si>
  <si>
    <t>Decimal-tal i formatet '##,##'</t>
  </si>
  <si>
    <t>Bilirubin</t>
  </si>
  <si>
    <t>Värdet ska anges i intervallet 1 → 1500</t>
  </si>
  <si>
    <t>Mätenhet (μmol/L) - mikromol per liter</t>
  </si>
  <si>
    <t>"Kroppstemperatur"</t>
  </si>
  <si>
    <t>Kroppstemperatur</t>
  </si>
  <si>
    <t>Värdet ska anges i intervallet 5 → 45</t>
  </si>
  <si>
    <t>Mätenhet (°C) - Grad Celsius</t>
  </si>
  <si>
    <t>"Kreatinin"</t>
  </si>
  <si>
    <t>Kreatinin</t>
  </si>
  <si>
    <t>Värdet ska anges i intervallet 1 → 3000</t>
  </si>
  <si>
    <t>"Hjärtfrekvens"</t>
  </si>
  <si>
    <t>Hjärtfrekvens</t>
  </si>
  <si>
    <t>Värdet ska anges i intervallet 0 → 400</t>
  </si>
  <si>
    <t>Mätenhet (bpm) - Hjärtslag/minut</t>
  </si>
  <si>
    <t>"BLeukocyter"</t>
  </si>
  <si>
    <t>B-leukocyter</t>
  </si>
  <si>
    <t>Värdet ska anges i intervallet 0 → 900</t>
  </si>
  <si>
    <t>Mätenhet (* 10^9/L)</t>
  </si>
  <si>
    <t>"aBpH"</t>
  </si>
  <si>
    <t>aB-pH</t>
  </si>
  <si>
    <t>Värdet ska anges i intervallet 5,7 → 8</t>
  </si>
  <si>
    <t>Mätenhet (pH)</t>
  </si>
  <si>
    <t>"BTrombocyt"</t>
  </si>
  <si>
    <t>B-Trombocyt</t>
  </si>
  <si>
    <t>Värdet ska anges i intervallet 0 → 3000</t>
  </si>
  <si>
    <t>"SystolisktTryck"</t>
  </si>
  <si>
    <t>Systoliskt tryck</t>
  </si>
  <si>
    <t>Mätenhet (mmHg) - millimeters of mercury</t>
  </si>
  <si>
    <t>"FiO2"</t>
  </si>
  <si>
    <t>FiO2 - anges i procent.
FiO2 och PaO2 skall vara tagna vid samma tidpunkt.</t>
  </si>
  <si>
    <t>Värdet ska anges i intervallet 21 → 100</t>
  </si>
  <si>
    <t>Mätenhet (%) - procent</t>
  </si>
  <si>
    <t>"PaO2"</t>
  </si>
  <si>
    <t>PaO2
FiO2 och PaO2 skall vara tagna vid samma tidpunkt.</t>
  </si>
  <si>
    <t>Värdet ska anges i intervallet 1 → 300</t>
  </si>
  <si>
    <t>Mätenhet (kPa) - kilopascal</t>
  </si>
  <si>
    <t>"Ventilation"</t>
  </si>
  <si>
    <t>Ventilation eller CPAP.</t>
  </si>
  <si>
    <t>Fotnot</t>
  </si>
  <si>
    <t>10.01</t>
  </si>
  <si>
    <t>SAPS3 ska inte rapporteras för vårdtillfällen där patienten är yngre än 16 år eller har okänd ålder</t>
  </si>
  <si>
    <t>10.02</t>
  </si>
  <si>
    <t>Operationstyp ska anges besvaras om opererad = 'Ja' för vårdtillfället (ger endast varning om ej valideringsklart). Operationstyp skall ej anges när opererad är besvarad med 'Nej'</t>
  </si>
  <si>
    <t>10.03</t>
  </si>
  <si>
    <t>Tid på sjukhus får maximalt vara 1800 dagar</t>
  </si>
  <si>
    <t>Typ: Higgins</t>
  </si>
  <si>
    <t>"Intagningsorsak"</t>
  </si>
  <si>
    <t>APACHE III-intagningsorsak 4:1 – 4:18 enligt SIR:s riktlinje.
Om vårdtillfället inte är kodat, ange ”Ej kodad”. Kan bara inträffa om vårdtillfället inte har en utskrivningstid.</t>
  </si>
  <si>
    <t>Texten får maximalt vara 10 tecken lång</t>
  </si>
  <si>
    <t>"Status"</t>
  </si>
  <si>
    <t>Higgins-status
Endast obligatorisk för beräkning av EMR2010sv. Fullständig ska då omfatta de värden som nedan anges som obligatoriska.</t>
  </si>
  <si>
    <t>"Fullständig"</t>
  </si>
  <si>
    <t>Fullständig</t>
  </si>
  <si>
    <t>"EjFullständig"</t>
  </si>
  <si>
    <t>Ej fullständig</t>
  </si>
  <si>
    <t>"AntalHjärtop"</t>
  </si>
  <si>
    <t>Antal tidigare hjärtoperationer före aktuell operation</t>
  </si>
  <si>
    <t>Värdet ska anges i intervallet 0 → 99</t>
  </si>
  <si>
    <t>Mätenhet (st)</t>
  </si>
  <si>
    <t>"TidigareKärlkirurgi"</t>
  </si>
  <si>
    <t>Tidigare kärlkirurgi före aktuellt vårdtillfälle</t>
  </si>
  <si>
    <t>"Vikt"</t>
  </si>
  <si>
    <t>Preopertiv vikt i kg
Värdet är obligatoriskt för beräkningen av EMR2010sv</t>
  </si>
  <si>
    <t>Värdet ska anges i intervallet 3 → 250</t>
  </si>
  <si>
    <t>Mätenhet (kg) - kilogram</t>
  </si>
  <si>
    <t>"Längd"</t>
  </si>
  <si>
    <t>Preoperativ längd i cm
Värdet är obligatoriskt för beräkningen av EMR2010sv</t>
  </si>
  <si>
    <t>Värdet ska anges i intervallet 50 → 250</t>
  </si>
  <si>
    <t>Mätenhet (cm) - centimeter</t>
  </si>
  <si>
    <t>"KreaPreop"</t>
  </si>
  <si>
    <t>Kreatinin preoperativt
Preoperativt uppmätt kreatinin (max 4 dygn före operationsdygnet)
Värdet är obligatoriskt för beräkningen av EMR2010sv</t>
  </si>
  <si>
    <t>Värdet ska anges i intervallet 20 → 2000</t>
  </si>
  <si>
    <t>Mätenhet (mikromol/liter)</t>
  </si>
  <si>
    <t>"AlbPreop"</t>
  </si>
  <si>
    <t>Albumin preoperativt.
Preoperativt uppmätt albumin (max 4 dygn före operationsdygnet)
Värdet är obligatoriskt för beräkningen av EMR2010sv</t>
  </si>
  <si>
    <t>Värdet ska anges i intervallet 5 → 70</t>
  </si>
  <si>
    <t>Mätenhet (g/L) - Gram per liter</t>
  </si>
  <si>
    <t>"ECCtid"</t>
  </si>
  <si>
    <t>Tid med hjärt-lungmaskin (sammanlagd tid vid flera episoder)
Värdet är obligatoriskt för beräkningen av EMR2020sv och EMR2010sv. Ange 0 om ingen ECC använts.</t>
  </si>
  <si>
    <t>Värdet ska anges i intervallet 0 → 999</t>
  </si>
  <si>
    <t>Mätenhet (m) - minuter</t>
  </si>
  <si>
    <t>"Ballongpump"</t>
  </si>
  <si>
    <t>Ballongpump
Värdet är obligatoriskt för beräkningen av EMR2010sv</t>
  </si>
  <si>
    <t>"Inandningsoxygen"</t>
  </si>
  <si>
    <t>Syrgaskoncentrationen i andningsluften i %
Värdet är obligatoriskt för beräkningen av EMR2010sv</t>
  </si>
  <si>
    <t>"ArtPCO2"</t>
  </si>
  <si>
    <t>Arteriella koldioxidtensionen i kPa, en decimal
Värdet är obligatoriskt för beräkningen av EMR2010sv</t>
  </si>
  <si>
    <t>Värdet ska anges i intervallet 2 → 30</t>
  </si>
  <si>
    <t>"ArtPO2"</t>
  </si>
  <si>
    <t>Arteriella syrgaskoncentrationen, en decimal
Värdet är obligatoriskt för beräkningen av EMR2010sv</t>
  </si>
  <si>
    <t>Värdet ska anges i intervallet 2 → 95</t>
  </si>
  <si>
    <t>"ArtO2"</t>
  </si>
  <si>
    <t>Arteriella syrgaskoncentrationen i %
Värdet är obligatoriskt för beräkningen av EMR2010sv</t>
  </si>
  <si>
    <t>Värdet ska anges i intervallet 15 → 100</t>
  </si>
  <si>
    <t>Mätenhet (%) - Procent</t>
  </si>
  <si>
    <t>Obligatoriskt för beräkning av EMR2010sv att Blandvenös eller Centralvenös anges.</t>
  </si>
  <si>
    <t>"BlandvenösO2"</t>
  </si>
  <si>
    <t>Blandade venösa syrgasmättnaden i procent</t>
  </si>
  <si>
    <t>Värdet ska anges i intervallet 10 → 99</t>
  </si>
  <si>
    <t>"CentralvenösO2"</t>
  </si>
  <si>
    <t>Centrala venösa syrgasmättnaden i %</t>
  </si>
  <si>
    <t>Hjärtfrekvens vid intagning
Värdet är obligatoriskt för beräkningen av EMR2010sv</t>
  </si>
  <si>
    <t>Värdet ska anges i intervallet 20 → 200</t>
  </si>
  <si>
    <t>Mätenhet (bmp) - Hjärtslag per minut</t>
  </si>
  <si>
    <t>"CVP"</t>
  </si>
  <si>
    <t>Central venöst tryck i mmHg
Värdet är obligatoriskt för beräkningen av EMR2010sv</t>
  </si>
  <si>
    <t>Värdet ska anges i intervallet -10 → 40</t>
  </si>
  <si>
    <t>Mätenhet (mmHg) - millimeter kvicksilver</t>
  </si>
  <si>
    <t>"BasÖverskott"</t>
  </si>
  <si>
    <t>Basöverskott
Värdet är obligatoriskt för beräkningen av EMR2010sv</t>
  </si>
  <si>
    <t>Värdet ska anges i intervallet -30 → 30</t>
  </si>
  <si>
    <t>Mätenhet (mmol/L) - millimoles per liter</t>
  </si>
  <si>
    <t>"AktiveradTEDA"</t>
  </si>
  <si>
    <t>TEDA aktiverad vid ankomst</t>
  </si>
  <si>
    <t>"IntuberadVidAnkomst"</t>
  </si>
  <si>
    <t>Intuberad vid ankomst</t>
  </si>
  <si>
    <t>"AortaTångtid"</t>
  </si>
  <si>
    <t>Aorta-tångtid (vid flera – summan), antal minuter</t>
  </si>
  <si>
    <t>11.01</t>
  </si>
  <si>
    <t>Higgins ska endast rapporteras för vårdtypen 'TIVA'</t>
  </si>
  <si>
    <t>11.02</t>
  </si>
  <si>
    <t>Intagningsorsak enligt APACHE III ska vara '4:1' - '4:18' då vårdtillfället är utskrivet. Kan anges som 'Ej kodad' eller utelämnas om vårdtillfället inte är utskrivet. (Intagningsorsak krävs om vårdtillfället är valideringsklart)</t>
  </si>
  <si>
    <t>Typ: ClinicalFrailtyScaleData</t>
  </si>
  <si>
    <t>"Bedömning"</t>
  </si>
  <si>
    <t>Bedömning</t>
  </si>
  <si>
    <t>1 Mycket vital – individer som är starka, aktiva, energiska och motiverade. De brukar ofta träna regelbundet. De tillhör de som är i bäst skick för sin ålder.</t>
  </si>
  <si>
    <t>2 Vital – individer som inte har några sjukdomssymtom men som är i sämre skick än individer i kategori 1. De tränar ofta eller är emellanåt mycket aktiva, till exempel beroende på årstid.</t>
  </si>
  <si>
    <t>3 Klarar sig bra – individer vars medicinska problem är väl kontrollerade, men som inte regelbundet är aktiva utöver vanliga promenader.</t>
  </si>
  <si>
    <t>4 Sårbar – är inte beroende av andras hjälp i vardagen, men har ofta symtom som begränsar deras aktiviteter. Ett vanligt klagomål är att de begränsas (”saktas ned”) och/eller blir trötta under dagen.</t>
  </si>
  <si>
    <t>5 Lindrigt skör – dessa individer är ofta uppenbart långsammare, och behöver hjälp med komplexa IADL (Instrumental Activities of Daily Living)-aktiviteter (ekonomi, transporter, tungt hushållsarbete, medicinering) Lindrig skörhet försämrar i allmänhet förmågan att handla och gå ut på egen hand, laga mat och utföra hushållsarbete.</t>
  </si>
  <si>
    <t>6 Måttligt skör – individer som behöver hjälp med alla utomhusaktiviteter och hushållsarbete. Inomhus har de ofta problem med trappor, behöver hjälp med att tvätta sig, och kan behöva minimal hjälp (uppmaning, stöd) med att klä på sig.</t>
  </si>
  <si>
    <t>7 Allvarligt skör – är helt beroende av andra för personlig egenvård oavsett orsak (fysisk eller kognitiv). Trots det framstår de som stabila och utan hög risk för att dö (inom ungefär 6 månader).</t>
  </si>
  <si>
    <t>8 Mycket allvarligt skör – helt beroende, närmar sig livets slut. De kan i allmänhet inte tillfriskna ens från en lindrig sjukdom.</t>
  </si>
  <si>
    <t>"9"</t>
  </si>
  <si>
    <t>9 Terminalt sjuk – närmar sig livets slut. I den här kategorin ingår individer med en förväntad återstående livslängd på mindre än 6 månader utan övriga uppenbara tecken på skörhet</t>
  </si>
  <si>
    <t>"Bortfallsorsak"</t>
  </si>
  <si>
    <t>Bortfallsorsak, ska anges då bedömning saknas och valideringsnivå är 'Alltid'</t>
  </si>
  <si>
    <t>"KanEjFastställas"</t>
  </si>
  <si>
    <t>Information har eftersökts men kan ej fastställas
Man har eftersökt men hittar ej information. Kan vara patienter från annan region där man inte har journalanteckningar, spärrad journal, utländska personer, personer som inte tidigare sökt sjukvård, oidentifierade osv</t>
  </si>
  <si>
    <t>"EjEftersökt"</t>
  </si>
  <si>
    <t>Information har inte eftersökts
Man har av något skäl inte gjort eftersökning.</t>
  </si>
  <si>
    <t>"EjLokalaKriterier"</t>
  </si>
  <si>
    <t>Ingår ej i lokal patientgrupp för Clinical Frailty Scale
Om man har egna lokala kriterier för Clinical Frailty Scale som ålder, diagnosgrupp och vårdtillfället ej uppfyller dessa.</t>
  </si>
  <si>
    <t>4.01</t>
  </si>
  <si>
    <t>Registering av ClinicalFrailtyScale ska endast förekomma för vårdtyperna 'IVA','TIVA' eller 'IMA'</t>
  </si>
  <si>
    <t>4.02</t>
  </si>
  <si>
    <t>Om registreringsnivå för Clinical Frailty Scale är 'Alltid' så skall bortfallsorsak anges om ingen bedömning gjorts. (Kan ge fel om vårdtillfället är valideringsklart, annars varning)</t>
  </si>
  <si>
    <t>Typ: PIM2</t>
  </si>
  <si>
    <t>Elektivt</t>
  </si>
  <si>
    <t>"VarPostoperativVård"</t>
  </si>
  <si>
    <t>PostOp</t>
  </si>
  <si>
    <t>"Hjärtlungmaskin"</t>
  </si>
  <si>
    <t>Hjärtmaskin</t>
  </si>
  <si>
    <t>"Högriskdiagnos"</t>
  </si>
  <si>
    <t>Högriskdisanos</t>
  </si>
  <si>
    <t>"0"</t>
  </si>
  <si>
    <t>"Hjärtstillestånd"</t>
  </si>
  <si>
    <t>"Svår kombinerad immunbrist(SCID)"</t>
  </si>
  <si>
    <t>Leukemi eller lymfom efter första induktionsbehandlingen</t>
  </si>
  <si>
    <t>Spontan cerebral blödning</t>
  </si>
  <si>
    <t>Kardiomyopati eller myocardit</t>
  </si>
  <si>
    <t>Hypoplastiskt vänsterkammarsyndrom(HLHS)</t>
  </si>
  <si>
    <t>"HIV infektion"</t>
  </si>
  <si>
    <t>Leverinsufficiencens är huvudorsak till IVA-inläggning</t>
  </si>
  <si>
    <t>Neurodegenerativ sjukdom</t>
  </si>
  <si>
    <t>"Lågriskdiagnos"</t>
  </si>
  <si>
    <t>Lågriskdiagnos</t>
  </si>
  <si>
    <t>Astma är huvudorsak till IVA-inläggning</t>
  </si>
  <si>
    <t>Bronkiolit är huvudorsak till inläggning på IVA</t>
  </si>
  <si>
    <t>Krupp är huvudorsak till inläggning på IVA</t>
  </si>
  <si>
    <t>Obstruktiv sömnapne är huvudorsak till anläggning på IVA</t>
  </si>
  <si>
    <t>Diabetesketoacidos är huvudorsak till inläggning på IVA</t>
  </si>
  <si>
    <t>"IngenLjusreaktion"</t>
  </si>
  <si>
    <t>Ingen ljusreaktion</t>
  </si>
  <si>
    <t>"MekaniskVentilering"</t>
  </si>
  <si>
    <t>Mekanisk ventilering</t>
  </si>
  <si>
    <t>"SystolisktTryckSaknasAnledning"</t>
  </si>
  <si>
    <t>Om systoliskt tryck saknas, ska här anges anledningen</t>
  </si>
  <si>
    <t>"VärdeOkänt"</t>
  </si>
  <si>
    <t>Värde okänt (ersätter "Värde saknas")</t>
  </si>
  <si>
    <t>"IckeMätbart"</t>
  </si>
  <si>
    <t>Systoliskt tryck var icke mätbart</t>
  </si>
  <si>
    <t>Hjärtstillestånd</t>
  </si>
  <si>
    <t>"Saknas"</t>
  </si>
  <si>
    <t>Värde saknas (utgår 2021-12-31, använd "Värde okänt")</t>
  </si>
  <si>
    <t>Värdet på det systoliska trycket</t>
  </si>
  <si>
    <t>Basöverskott</t>
  </si>
  <si>
    <t>FiO2</t>
  </si>
  <si>
    <t>PaO2</t>
  </si>
  <si>
    <t>Värdet ska anges i intervallet 1 → 100</t>
  </si>
  <si>
    <t>Mätenhet (kPa) - Kilopascal</t>
  </si>
  <si>
    <t>12.01</t>
  </si>
  <si>
    <t>Registering ska endast förekomma om vårdtypen är 'IVA' och patienten är yngre än 16 år, eller om vårdtypen är'BIVA'</t>
  </si>
  <si>
    <t>12.02</t>
  </si>
  <si>
    <t>PIM2 tillämpas inte på patienter som är 16 år eller äldre och har vårdtypen IVA</t>
  </si>
  <si>
    <t>12.03</t>
  </si>
  <si>
    <t>Man kan inte ange både 'Högriskdiagnos' och 'Lågriskdiagnos' samtidigt</t>
  </si>
  <si>
    <t>12.04</t>
  </si>
  <si>
    <t>PIM2-data får ej anges för vårdtillfällen inskrivna 2016-01-01 eller senare. Istället används PIM3 from 2016</t>
  </si>
  <si>
    <t>Typ: PIM3</t>
  </si>
  <si>
    <t>Postoperativ vård</t>
  </si>
  <si>
    <t>"Ja, hjärtkirurgi med hjärtlungmaskin" (Coefficient = -1.2246)</t>
  </si>
  <si>
    <t>"Ja, hjärtkirurgi utan hjärtlugnmaskin" (Coefficient = -0.8762)</t>
  </si>
  <si>
    <t>"Ja, icke hjärtkirurgi" (Coefficient = -1.5164)</t>
  </si>
  <si>
    <t>"MycketHögRisk"</t>
  </si>
  <si>
    <t>Mycket hög risk</t>
  </si>
  <si>
    <t>"Hjärtestillestånd föregår inläggning på IVA"</t>
  </si>
  <si>
    <t>Benmärgstransplanterad mottagare</t>
  </si>
  <si>
    <t>"HögRisk"</t>
  </si>
  <si>
    <t>Hög risk</t>
  </si>
  <si>
    <t>Nekrotiserande enterokolit(NEC)</t>
  </si>
  <si>
    <t>"LågRisk"</t>
  </si>
  <si>
    <t>Låg risk</t>
  </si>
  <si>
    <t>Epileptiska kramper är huvudorsak till inläggning på IVA</t>
  </si>
  <si>
    <t>"LjusstelaPupiller"</t>
  </si>
  <si>
    <t>Ljusstela pupiller
'true'  om pupillerna är &gt;3 mm och båda fixerade.
'false' om pupillerna har normal ljusreaktion.
null   när det inte är undersökt.
Pupillreaktion för starkt ljus används som ett index för hjärnfunktion.
Registrera inte onormala fynd om de beror på droger, toxiner eller lokal ögonskada.</t>
  </si>
  <si>
    <t>"MekaniskVentilation"</t>
  </si>
  <si>
    <t>Mekanisk ventilation vid någon tid under första timmen på IVA.
Mekanisk ventilation inkluderar maskventilation(NIV) eller nasal CPAP eller BiPAP
eller negativ tryckventilation.
Ange 'true' eller 'false'</t>
  </si>
  <si>
    <t>Värdet ska anges i intervallet 20 → 400</t>
  </si>
  <si>
    <t>Basöverskott arteriellt, kapillärt blod eller venöst.
Anges med en decimal</t>
  </si>
  <si>
    <t>FiO2
Ange faktiskt värde = syrgasprocent vid tiden för registrerat PaO2 eller null vid 'saknas'</t>
  </si>
  <si>
    <t>PaO2, Anges i kPa om syrgas ges via endotrakeal tub (ETT) eller huvudbox.</t>
  </si>
  <si>
    <t>"SpO2"</t>
  </si>
  <si>
    <t>SpO2, Pulsoximeter värde – anges som faktiskt värde i %
(Om ductus arteriosus är öppen och det föreligger ett höger-vänster flöde i ductus (dvs ett
flöde med venöst blod från truncus pulmonalis till aorta) skall det preduktala värdet
anges, dvs i de flesta fall pulsoximeter värdet erhållet i höger hand).</t>
  </si>
  <si>
    <t>"Laktat"</t>
  </si>
  <si>
    <t>Laktat, anges med en decimal eller null för saknas</t>
  </si>
  <si>
    <t>Värdet ska anges i intervallet 0 → 35,5</t>
  </si>
  <si>
    <t>13.01</t>
  </si>
  <si>
    <t>Diagnosen kan vara av typen 'Mycket hög risk', 'Hög risk' eller 'Låg risk', men endast ett alternativ kan anges</t>
  </si>
  <si>
    <t>13.02</t>
  </si>
  <si>
    <t>Då orsak till att Systoliskt blodtryck saknas anges så kan inte även systoliskt blodtryck anges</t>
  </si>
  <si>
    <t>13.03</t>
  </si>
  <si>
    <t xml:space="preserve">Orsak till saknat systoliskt blodtryck måste anges i &lt;SystolisktTryckSaknas&gt; </t>
  </si>
  <si>
    <t>Typ: SOFAData</t>
  </si>
  <si>
    <t>From 2016 så finns en ny riktlinje för SOFA där man inte behöver ange både Kreatinin och Diures för att få poäng för Njure. Man ska då ange Version=2 för att beräkningen ska bli komplett.
Version kan utelämnas och tolkas då som Version = 1.</t>
  </si>
  <si>
    <t>SOFA version 1</t>
  </si>
  <si>
    <t>SOFA version 2</t>
  </si>
  <si>
    <t>"SOFAs"</t>
  </si>
  <si>
    <t>Sofa-data</t>
  </si>
  <si>
    <t>14.02</t>
  </si>
  <si>
    <t xml:space="preserve">SOFA ska endast anges om vårdtyp är IVA eller TIVA </t>
  </si>
  <si>
    <t>14.04</t>
  </si>
  <si>
    <t>För att SOFA ska anses vara 'Fullständig' får högst en variabel saknas och 'Ej fullständig' får bara användas om fler än en variabel saknas</t>
  </si>
  <si>
    <t>14.05</t>
  </si>
  <si>
    <t>Inga variabler ska rapporteras om 'Status' är antingen 'Annan orsak' eller 'Medicinsk indikation för provtagning saknas'</t>
  </si>
  <si>
    <t>14.06</t>
  </si>
  <si>
    <t>'SOFA' får inte ha två registreringar med samma datum</t>
  </si>
  <si>
    <t>14.07</t>
  </si>
  <si>
    <t>Endast en 'In SOFA' kan förekoma</t>
  </si>
  <si>
    <t>14.08</t>
  </si>
  <si>
    <t>Endast en 'Ut SOFA' kan förekomma</t>
  </si>
  <si>
    <t>14.09</t>
  </si>
  <si>
    <t>'In SOFA' och 'Ut SOFA' måste anges på alla vårdtillfällen</t>
  </si>
  <si>
    <t>14.10</t>
  </si>
  <si>
    <t>Ingen 'Daglig SOFA' förväntas om vårdtillfället är kortare en 5 timmar</t>
  </si>
  <si>
    <t>14.11</t>
  </si>
  <si>
    <t>Vid 'Daglig SOFA' ska man ange 'SOFADatum', men endast då</t>
  </si>
  <si>
    <t>14.12</t>
  </si>
  <si>
    <t>SOFA-registreringen måste infalla inom vårdtillfällets tidsram</t>
  </si>
  <si>
    <t>14.14</t>
  </si>
  <si>
    <t>Vasoaktiva läkemedel ska ej utelämnas om MAP är angivet</t>
  </si>
  <si>
    <t>Typ: DagligSOFA</t>
  </si>
  <si>
    <t>"Datum"</t>
  </si>
  <si>
    <t>Datumet som avses är startdatumet för den dygnsperiod man registrerar. Det innebär att det är datumet före det datum man registrerar. Detta i analogi med tidigare SOFA-registrering.
Datum på formatet ”åååå-mm-dd”.</t>
  </si>
  <si>
    <t>För att SOFA skall anses vara ”Fullständig” får högst en variabel saknas.
För att använda ”Medicinsk indikation för provtagning saknas” eller ”Annan orsak” skall inga variabler därefter finnas.</t>
  </si>
  <si>
    <t>SOFA'n är ej fullständig</t>
  </si>
  <si>
    <t>"MedicinskIndikationSaknas"</t>
  </si>
  <si>
    <t>Medicinsk indikation för provtagning saknas</t>
  </si>
  <si>
    <t>"AnnanOrsak"</t>
  </si>
  <si>
    <t>Annan orsak</t>
  </si>
  <si>
    <t>Andning kan anges antingen som FiO2 + PaO2 eller som Oxygeneringsindex, PaO2/FiO2.</t>
  </si>
  <si>
    <t>"Oxygeneringsindex"</t>
  </si>
  <si>
    <t>Oxygeneringsindex
OI = FiO2 × MAP/PaO2
OI Oxygeneringsindex</t>
  </si>
  <si>
    <t>Värdet ska anges i intervallet 1 → 1428</t>
  </si>
  <si>
    <t>Mätenhet (OI)</t>
  </si>
  <si>
    <t>"BTrombocyter"</t>
  </si>
  <si>
    <t>B-Trombocyter
Ändrat 2017-10-13 (från 0-2000) till (0-3000) samma som SAPS3 (dessa ska inte skilja sig åt)</t>
  </si>
  <si>
    <t>MAP, Dopamin, Noradrenalin, Adrenalin, Dobutamin, Levosimendan och Vasopressin är tillsammans en variabel.
För att variabel Kardiovaskulär skall kunna beräknas krävs att ingen parameter saknas.</t>
  </si>
  <si>
    <t>"MAP"</t>
  </si>
  <si>
    <t>Mean Arterial Pressure  (MAP) - Medelartärtryck</t>
  </si>
  <si>
    <t>Värdet ska anges i intervallet 0 → 350</t>
  </si>
  <si>
    <t>"Dopamin"</t>
  </si>
  <si>
    <t>Dopamin (hur mycket har givits patienten,Nej = inget)</t>
  </si>
  <si>
    <t>"Nivå1"</t>
  </si>
  <si>
    <t>Mindre eller lika med 5 (&lt;= 5)</t>
  </si>
  <si>
    <t>"Nivå2"</t>
  </si>
  <si>
    <t>Större än 5 (&gt; 5)</t>
  </si>
  <si>
    <t>"Nivå3"</t>
  </si>
  <si>
    <t>Större än 15 (&gt; 15)</t>
  </si>
  <si>
    <t>"Noradrenalin"</t>
  </si>
  <si>
    <t>Noradrenalin (hur mycket har givits patienten,Nej = inget)</t>
  </si>
  <si>
    <t>Mindre eller lika med 0,1 (&lt;= 0,1)</t>
  </si>
  <si>
    <t>Större än 0,1 (&gt; 0.1)</t>
  </si>
  <si>
    <t>"Adrenalin"</t>
  </si>
  <si>
    <t>Adrenalin (hur mycket har givits patienten,Nej = inget)</t>
  </si>
  <si>
    <t>Större än 0,1 (&gt; 0,1)</t>
  </si>
  <si>
    <t>"Dobutamin"</t>
  </si>
  <si>
    <t>Dobutamin (Har Dobutamin givits patienten)</t>
  </si>
  <si>
    <t>"Levosimendan"</t>
  </si>
  <si>
    <t>Levosimendan (Har Levosimendan givits patienten)</t>
  </si>
  <si>
    <t>"Vasopressin"</t>
  </si>
  <si>
    <t>Vasopressin (Har Vasopressin givits patienten)</t>
  </si>
  <si>
    <t>Antingen kan GCS eller RLS85 anges eller båda. Om GCS anges så används det vid beräkning.</t>
  </si>
  <si>
    <t>Kreatinin och Diures skall båda anges och räknas som en variabel ihop om version 1 används.</t>
  </si>
  <si>
    <t>"Diures"</t>
  </si>
  <si>
    <t>Diures</t>
  </si>
  <si>
    <t>Värdet ska anges i intervallet 0 → 50000</t>
  </si>
  <si>
    <t>Mätenhet (ml/dygn) - milliliter per dygn</t>
  </si>
  <si>
    <t>(*)</t>
  </si>
  <si>
    <t>Om SOFAStatus angivits som ”Medicinsk indikation för provtagning saknas” eller ”Annan orsak” så skall dessa fält utelämnas.</t>
  </si>
  <si>
    <t>30.01</t>
  </si>
  <si>
    <t>Daglig SOFA ska endast anges om vårdtyp är 'IVA','TIVA' eller 'IMA'</t>
  </si>
  <si>
    <t>30.02</t>
  </si>
  <si>
    <t>Daglig SOFA ska inte rapporteras för vårdtillfällen där patienten är yngre än 16 år eller har okänd ålder</t>
  </si>
  <si>
    <t>30.03</t>
  </si>
  <si>
    <t>För att Daglig SOFA ska anses vara 'Fullständig' får högst en variabel saknas och 'Ej fullständig' får bara användas om fler än en variabel saknas</t>
  </si>
  <si>
    <t>30.04</t>
  </si>
  <si>
    <t>30.05</t>
  </si>
  <si>
    <t>Daglig SOFA får inte ha två registreringar med samma datum</t>
  </si>
  <si>
    <t>30.06</t>
  </si>
  <si>
    <t>30.07</t>
  </si>
  <si>
    <t>Beräknar antal förväntade Dagliga SOFA registreringar och jämför med de befintliga (Utvärderas endast om vårdtillfället är valideringsklart)</t>
  </si>
  <si>
    <t>30.08</t>
  </si>
  <si>
    <t>Vasoaktiva läkemedel ska ej utelämnas om MAP är angivet för daglig SOFA</t>
  </si>
  <si>
    <t>30.09</t>
  </si>
  <si>
    <t>Ankomsttid måste anges för att validering av Daglig SOFA ska kunna utföras</t>
  </si>
  <si>
    <t>Typ: Avliden2009</t>
  </si>
  <si>
    <t>"TeckenHjärnskada"</t>
  </si>
  <si>
    <t>Ett eller flera av nedanstående konstanter
Värdet 'Nej' får endast existera ensamt, och ej i kombination med något annat värde.</t>
  </si>
  <si>
    <t>Fråga 1: Förelåg tecken på svår nytillkommen hjärnskada före döden?
Om Nej så ska det vara det enda svaret</t>
  </si>
  <si>
    <t>"Pupiller"</t>
  </si>
  <si>
    <t>Ljusstela pupiller</t>
  </si>
  <si>
    <t>"Reflex"</t>
  </si>
  <si>
    <t>Ingen host-/sväljreflex</t>
  </si>
  <si>
    <t>Ingen egenandning</t>
  </si>
  <si>
    <t>"RLS8"</t>
  </si>
  <si>
    <t>RLS -8</t>
  </si>
  <si>
    <t>"Annat"</t>
  </si>
  <si>
    <t>Annat</t>
  </si>
  <si>
    <t>"OrsakHjärnskada"</t>
  </si>
  <si>
    <t>Fråga 2: Om tecken på svår nytillkommen hjärnskada förelåg, vilken/-a var orsaken/-erna?
Besvaras enbart om Fråga 1 besvarats med annat än ”Nej”.</t>
  </si>
  <si>
    <t>"IntrakraniellBlödningAltInfarkt"</t>
  </si>
  <si>
    <t>Intrakraniell blödning / infarkt</t>
  </si>
  <si>
    <t>"Skalltrauma"</t>
  </si>
  <si>
    <t>Skalltrauma</t>
  </si>
  <si>
    <t>"Anoxi"</t>
  </si>
  <si>
    <t>Anoxi</t>
  </si>
  <si>
    <t>"FörekomVentilation"</t>
  </si>
  <si>
    <t>Fråga 3: Förekom artificiell ventilation (Invasiv eller Non-Invasiv) sista dygnet?</t>
  </si>
  <si>
    <t>"DödsfallKonstateratGenom"</t>
  </si>
  <si>
    <t>Ett eller flera av nedanstående konstanter
Värdet 'Indirekta' får endast existera ensamt, och ej i kombination med något annat värde.</t>
  </si>
  <si>
    <t>Fråga 4: Dödsfallet konstaterat genom</t>
  </si>
  <si>
    <t>"Indirekta"</t>
  </si>
  <si>
    <t>Indirekta kriterier</t>
  </si>
  <si>
    <t>"Klinisk"</t>
  </si>
  <si>
    <t>Direkta kriterier, klinisk neurologisk undersökning</t>
  </si>
  <si>
    <t>"Fyrkärlsangiografi"</t>
  </si>
  <si>
    <t>Direkta kriterier, fyrkärlsangiografi</t>
  </si>
  <si>
    <t>"OrsakDödsfallEjDirektaKriterier"</t>
  </si>
  <si>
    <t>Fråga 5: Vid tecken på svår hjärnskada - Varför kunde dödsfallet inte konstateras genom direkta kriterier?
Besvaras endast om fråga 1 inte besvarats med "Nej och fråga 4 med ”Indirekta kriterier”</t>
  </si>
  <si>
    <t>"Avbruten"</t>
  </si>
  <si>
    <t>Avbruten behandling</t>
  </si>
  <si>
    <t>"Avstår"</t>
  </si>
  <si>
    <t>Avstår från behandling</t>
  </si>
  <si>
    <t>"Olämplig"</t>
  </si>
  <si>
    <t>Medicinskt olämplig som donator</t>
  </si>
  <si>
    <t>"EjÅterställd"</t>
  </si>
  <si>
    <t>Ej återställd hjärtverksamhet</t>
  </si>
  <si>
    <t>"EjUppmärksammad"</t>
  </si>
  <si>
    <t>Donator ej uppmärksammad</t>
  </si>
  <si>
    <t>"Negativ"</t>
  </si>
  <si>
    <t>Avlidne negativ till donation</t>
  </si>
  <si>
    <t>"EjRadiologisk"</t>
  </si>
  <si>
    <t>Ej tillgång till radiologisk diagnostik</t>
  </si>
  <si>
    <t>"EjKlinisk"</t>
  </si>
  <si>
    <t>Ej tillgång till kompetens för klinisk diagnostik</t>
  </si>
  <si>
    <t>"EjMisstänkt"</t>
  </si>
  <si>
    <t>Total hjärninfarkt misstänktes ej</t>
  </si>
  <si>
    <t>"TransplantationsKoordinator"</t>
  </si>
  <si>
    <t>Fråga 6: Togs kontakt med transplantationskoordinator?
Besvaras endast om fråga 1 inte besvarats med ”Nej” samt att det förekom artificiell ventilation(fråga 3) och att fråga 4 besvarats med ”Indirekta kriterier” eller ”Direkta kriterier”</t>
  </si>
  <si>
    <t>"Kontraindikation"</t>
  </si>
  <si>
    <t>Fråga 7: Förelåg  kontraindikationer mot organdonation?
Besvaras endast om fråga 4 besvarats med ”Direkta kriterier”
Om ”Nej” skall det vara det enda svaret.</t>
  </si>
  <si>
    <t>"Medicinska"</t>
  </si>
  <si>
    <t>Medicinska skäl</t>
  </si>
  <si>
    <t>"Rättsmedicinska"</t>
  </si>
  <si>
    <t>Rättsmedicinska skäl</t>
  </si>
  <si>
    <t>"MöjligDonator"</t>
  </si>
  <si>
    <t>Detta avsnitt ska endast vara med om fråga 7 besvarats och då besvarats med ”Nej”
Fråga 8: Om möjlig donator</t>
  </si>
  <si>
    <t>"Beslutad"</t>
  </si>
  <si>
    <t>"Granskad"</t>
  </si>
  <si>
    <t>Fråga 10: Uppgifterna granskade av kontaktperson för donationsfrågor?</t>
  </si>
  <si>
    <t>15.01</t>
  </si>
  <si>
    <t>Avliden på Iva Ver4 upphörde 2016-01-01 och ersattes med Avliden på Iva Mätetal</t>
  </si>
  <si>
    <t>15.02</t>
  </si>
  <si>
    <t>Tecken på svår nytillkommen hjärnskada ska besvaras</t>
  </si>
  <si>
    <t>15.03</t>
  </si>
  <si>
    <t>'Orsakhjärnskada' ska endast besvaras om tecken på svår nytillkommen hjärnskada förelåg</t>
  </si>
  <si>
    <t>15.04</t>
  </si>
  <si>
    <t>Frågan om hur dödsfallet konstaterats ska alltid besvaras</t>
  </si>
  <si>
    <t>15.05</t>
  </si>
  <si>
    <t>Dödsfallet kan inte ha konstateras med Direkta Kriterier om Ventilation besvarats med Nej</t>
  </si>
  <si>
    <t>15.06</t>
  </si>
  <si>
    <t>'Diagnostik' ska endast besvaras om det förekom tecken på svår nytillkommen hjärnskada och om dödsfallet dessutom konstaterats med Indirekta kriterier</t>
  </si>
  <si>
    <t>15.07</t>
  </si>
  <si>
    <t>Diagnostik kan inte besvaras med 'Total hjärninfarkt misstänktes ej' om Ventilation samtidigt besvarats med Nej</t>
  </si>
  <si>
    <t>15.08</t>
  </si>
  <si>
    <t>'Koordinator' ska endast besvaras om 'Hjärnskada' och 'Ventilation' besvarats med 'Ja', annars ska den inte besvaras</t>
  </si>
  <si>
    <t>15.09</t>
  </si>
  <si>
    <t>'Kontraindikation' ska besvaras då, och endast då, 'Konstaterat' besvarats med 'Direkta kriterier'</t>
  </si>
  <si>
    <t>15.10</t>
  </si>
  <si>
    <t>'Möjlig donator' ska endast besvaras när dödsfall konstaterats med Direkta kriterier och ingen Kontraindikation finns</t>
  </si>
  <si>
    <t>15.11</t>
  </si>
  <si>
    <t>'InställningKänd' ska bara besvaras om patientens inställning till donation är känd. Annars så ska den utelämnas</t>
  </si>
  <si>
    <t>15.12</t>
  </si>
  <si>
    <t xml:space="preserve">Besvaras endast om Inställning besvarats med 'Okänd' </t>
  </si>
  <si>
    <t>15.13</t>
  </si>
  <si>
    <t>'Beslutad' ska endast besvaras om dödsfallet konstaterats med Direkta kriterier</t>
  </si>
  <si>
    <t>15.14</t>
  </si>
  <si>
    <t>'Dokumentationssätt' ska besvaras om patientens inställning till donation är känd</t>
  </si>
  <si>
    <t>15.15</t>
  </si>
  <si>
    <t>'Genomfördes' ska endast besvaras om Planerad besvarats med Ja</t>
  </si>
  <si>
    <t>15.16</t>
  </si>
  <si>
    <t>AvlidenPåIva kan inte rapporteras när vårdresultatet är 'Levande'</t>
  </si>
  <si>
    <t>Typ: Avliden2016</t>
  </si>
  <si>
    <t>Fråga 1: Förelåg tecken på svår nytillkommen hjärnskada före döden?</t>
  </si>
  <si>
    <t>"RLSAltGCS"</t>
  </si>
  <si>
    <t>RLS större än 6 alt. GCS mindre än 5</t>
  </si>
  <si>
    <t>"AndningKranialnerv"</t>
  </si>
  <si>
    <t>Bortfall av spontanandning eller minst en kranialnervsreflex</t>
  </si>
  <si>
    <t>"Sannolikt"</t>
  </si>
  <si>
    <t>Hög sannolikhet för utvecklande av total hjärninfarkt</t>
  </si>
  <si>
    <t>Fråga 1.2.2: Vilken/-a var orsaken/-erna?
Besvaras enbart om Fråga 1 besvarats med annat än ”Nej”.</t>
  </si>
  <si>
    <t>Intrakraniell blödning/infarkt</t>
  </si>
  <si>
    <t>"SubakutAltKroniskProcess"</t>
  </si>
  <si>
    <t>Subakut eller kronisk process (t.ex. hjärntumör) som övergår i ett akut skede (svullnad pga. tumör, postoperativ blödning etc.)</t>
  </si>
  <si>
    <t>Fråga 2: Förekom assisterad ventilation sista dygnet?</t>
  </si>
  <si>
    <t>Fråga 2.1.1: Togs kontakt med transplantationskoordinator?
Besvaras om svår nytillkommen hjärnskada är annat än "Nej" och Ventilation=Ja</t>
  </si>
  <si>
    <t>"VarförEjVentilation"</t>
  </si>
  <si>
    <t>Fråga 2.2.1: Varför förekom inte assisterad ventilation?
Besvaras om svår nytillkommen hjärnskada är annat än "Nej" och Ventilation=Nej</t>
  </si>
  <si>
    <t>Avbryter/avstår från behandling på grund av bedömningen dålig prognos av patientens akuta sjukdom</t>
  </si>
  <si>
    <t>Avbryter/avstår från behandling på grund av bedömningen dålig prognos av patientens tidigare kroniska sjukdom (t.ex. spridd malign sjukdom)</t>
  </si>
  <si>
    <t>Fråga 3: Dödsfallet konstaterat genom kriterier (Direkta eller indirekta)</t>
  </si>
  <si>
    <t>Indirekta kriterier (hjärtstopp)</t>
  </si>
  <si>
    <t>Direkta kriterier (total hjärninfarkt), Klinisk neurologisk undersökning</t>
  </si>
  <si>
    <t>"KliniskOchAngio"</t>
  </si>
  <si>
    <t>Direkta kriterier (total hjärninfarkt), Klinisk neurologisk undersökning och fyrkärlsangiografi</t>
  </si>
  <si>
    <t>Fråga 3.1.1: Vad var huvudorsaken till att dödsfallet inte konstaterades genom direkta kriterier?
Besvaras om nytillkommen hjärnskada med alla tre tecknen och assisterad ventilation samt dödsfallet
konstaterat med indirekta kriterier.</t>
  </si>
  <si>
    <t>Behandling avbruten utan uppmärksammad möjlighet till donation</t>
  </si>
  <si>
    <t>"EjUtvecklat"</t>
  </si>
  <si>
    <t>Total hjärninfarkt utvecklades ej</t>
  </si>
  <si>
    <t>"OlämpligAvIva"</t>
  </si>
  <si>
    <t>Av IVA-personal bedömd som olämplig av medicinska skäl (utan kontakt med transplantationsverksamhet)</t>
  </si>
  <si>
    <t>Ej tillgång till kompetens för klinisk diagnostik av total hjärninfarkt.</t>
  </si>
  <si>
    <t>"OlämpligAvTransp"</t>
  </si>
  <si>
    <t>Av transplantationsverksamhet bedömd som olämplig av medicinska skäl</t>
  </si>
  <si>
    <t>Negativ inställning till organdonation framkommit</t>
  </si>
  <si>
    <t>"TidUppmärksammad"</t>
  </si>
  <si>
    <t>Fråga 3.1.2: Tiden från uppmärksammad möjlig donator tills behandlingen avbröts anges.
Besvaras om nytillkommen hjärnskada med alla tre tecknen och assisterad ventilation samt
dödsfallet konstaterat med indirekta kriterier och att diagnostik ej besvarats med ”Behandling avbruten”</t>
  </si>
  <si>
    <t>"-6"</t>
  </si>
  <si>
    <t>Mindre än 6 timmar</t>
  </si>
  <si>
    <t>"6-12"</t>
  </si>
  <si>
    <t>6-12 timmar</t>
  </si>
  <si>
    <t>"12-24"</t>
  </si>
  <si>
    <t>12-24 timmar</t>
  </si>
  <si>
    <t>"24-48"</t>
  </si>
  <si>
    <t>24-48 timmar</t>
  </si>
  <si>
    <t>"48-72"</t>
  </si>
  <si>
    <t>48-72 timmar</t>
  </si>
  <si>
    <t>"72-"</t>
  </si>
  <si>
    <t>Mer än 72 timmar</t>
  </si>
  <si>
    <t>Fråga 4-5: Besvaras om dödsfallet konstaterats med direkta kriterier.</t>
  </si>
  <si>
    <t>Fråga 6: Uppgifterna granskade av donationsansvarig läkare/sjuksköterska (DAL/DAS)?</t>
  </si>
  <si>
    <t>"Dokumenterad"</t>
  </si>
  <si>
    <t>Fråga 6.2.1: Är dokumentationen i journalen korrekt? Det ska framgå hur dödsfallet konstaterats, om eventuellt möjlig donator uppmärksammats och i så fall beskrivning av hela donationsprocessen
Besvaras om Granskad</t>
  </si>
  <si>
    <t>16.01</t>
  </si>
  <si>
    <t>Avliden på Iva Mätetal kan bara rapporteras för de som avlidit fr.o.m 2016-01-01 t.o.m. 2019-12-31</t>
  </si>
  <si>
    <t>16.02</t>
  </si>
  <si>
    <t>'Avliden på IVA' skall bara registreras för vårdtillfällen av typen IVA, BIVA eller TIVA</t>
  </si>
  <si>
    <t>16.03</t>
  </si>
  <si>
    <t>Tecken på svår nytillkommen hjärnskada måste alltid besvaras</t>
  </si>
  <si>
    <t>16.04</t>
  </si>
  <si>
    <t>Orsak till hjärnskada måste besvaras om tecken på nytillkommen hjärnskada föreligger och endast då</t>
  </si>
  <si>
    <t>16.05</t>
  </si>
  <si>
    <t>'Koordinator' måste besvaras om svår nytillkommen hjärnskada förelåg och Ventilation besvarats med Ja och endast då</t>
  </si>
  <si>
    <t>16.06</t>
  </si>
  <si>
    <t>Frågan om varför ventilation inte förekom ska besvaras om svår nytillkommen hjärnskada förelåg och Ventilation besvarats med Nej och endast då</t>
  </si>
  <si>
    <t>16.07</t>
  </si>
  <si>
    <t>Hur dödsfallet konstaterats ska alltid besvaras. Kan bara besvaras med Direkta kriterier om all tre tecknen förelåg och då ventilation besvarats med Ja</t>
  </si>
  <si>
    <t>16.08</t>
  </si>
  <si>
    <t>Huvudorsaken till att dödsfallet inte konstaterades med Direkta kriterier ska bara besvaras om:
	Alla tre tecknen på svår nytillkommen hjärnskada förelåg
	Assisterad ventilation förekom
	Dödsfallet konstaterats med Indirekta kriterier</t>
  </si>
  <si>
    <t>16.09</t>
  </si>
  <si>
    <t>Svaret 'Av IVA-personalen bedömd som olämplig av medicinska skäl' på OrsakEjDirekta får ej användas om kontakt med transplantationskoordinator tagits</t>
  </si>
  <si>
    <t>16.10</t>
  </si>
  <si>
    <t>Svaret 'Av transplantationsverksamheten bedömd som olämplig av medicinska skäl' på OrsakEjDirekta får inte användas om kontakt med transplantationskoordinator inte har tagits</t>
  </si>
  <si>
    <t>16.11</t>
  </si>
  <si>
    <t>'Tiduppmärksammad' ska besvaras endast om Huvudorsak till att dödsfall konstaterats med Indirekta kriterier besvarats med något annat svar än Behandling avbruten</t>
  </si>
  <si>
    <t>16.12</t>
  </si>
  <si>
    <t>Den avlidnes inställning till organdonation ('DirektKriterier') ska besvaras om dödsfallet konstaterats med direkta kriterier, annars inte</t>
  </si>
  <si>
    <t>16.13</t>
  </si>
  <si>
    <t>'Inställning känd' ska besvaras om Inställning besvarats med 'Känd' och endast då</t>
  </si>
  <si>
    <t>16.14</t>
  </si>
  <si>
    <t>Dokumentationssätt ska besvaras om Inställning besvarats med 'Känd'</t>
  </si>
  <si>
    <t>16.15</t>
  </si>
  <si>
    <t>'InställningOkänd' ska besvaras om Inställning besvarats med 'Okänd' och endast då</t>
  </si>
  <si>
    <t>16.16</t>
  </si>
  <si>
    <t>16.17</t>
  </si>
  <si>
    <t>'SvarGenomförd' besvaras endast om Planerad besvarats med 'Ja'</t>
  </si>
  <si>
    <t>16.18</t>
  </si>
  <si>
    <t>Dokumentation i journal ska besvaras om granskad = Ja och endast då</t>
  </si>
  <si>
    <t>16.19</t>
  </si>
  <si>
    <t>AvlidenPåIvaMätetal kan inte rapporteras när vårdresultatet är 'Levande'</t>
  </si>
  <si>
    <t>Typ: Avliden2020</t>
  </si>
  <si>
    <t>Fråga 1.2.1: Vilken/-a var orsaken/-erna?
(Besvaras om tecken på svår nytillkommen hjärnskada före döden förelåg (Fråga 1))</t>
  </si>
  <si>
    <t>"IntrakraniellBlödning"</t>
  </si>
  <si>
    <t>Intrakraniell blödning</t>
  </si>
  <si>
    <t>"TotalHjärnskada"</t>
  </si>
  <si>
    <t>Fråga 1.2.2: RLS &gt; 6 alt. GCS mindre än 5 samt nytillkommet bortfall av minst en kranialnervsreflex
(Besvaras om tecken på svår nytillkommen hjärnskada före döden förelåg (Fråga 1))</t>
  </si>
  <si>
    <t>Fråga 2: Förekom invasiv ventilatorbehandling sista 24 timmarna?</t>
  </si>
  <si>
    <t>"KontaktTransplantationsKoordinator"</t>
  </si>
  <si>
    <t>Fråga 2.1.1: Togs kontakt med transplantationskoordinator?
(Besvaras om tecken på tecken på svår nytillkommen hjärnskada förelåg (Fråga 1) och RLS &gt; 6 alt. GCS mindre än 5 samt nytillkommet bortfall av minst en kranialnervsreflex (Fråga 1.2.2))</t>
  </si>
  <si>
    <t>"OrsakEjVentilation"</t>
  </si>
  <si>
    <t>Fråga 2.2.1: Vad var huvudorsaken till att patienten inte vårdades med invasiv ventilatorbehandling de sista 24 timmarna?
(Besvaras om tecken på svår nytillkommen hjärnskada förelåg (Fråga 1) och invasiv ventilatorbehandling ej förekommit (Fråga 2))</t>
  </si>
  <si>
    <t>"IngetBehov"</t>
  </si>
  <si>
    <t>Inget medicinskt behov av invasiv ventilatorbehandling</t>
  </si>
  <si>
    <t>Fråga 3: Dödsfallet konstaterat genom</t>
  </si>
  <si>
    <t>Direkta kriterier (total hjärninfarkt), Klinisk neurologisk undersökning och kompletterande bilddiagnostik</t>
  </si>
  <si>
    <t>"OrsakIndirektaKriterier"</t>
  </si>
  <si>
    <t>Fråga 3.1.1: Vad var huvudorsaken till att dödsfallet inte konstaterades genom direkta kriterier?
(Besvaras om dödsfallet konstaterades genom indirekta kriterier)</t>
  </si>
  <si>
    <t>"SviktandeCirkulation"</t>
  </si>
  <si>
    <t>Terminalt sviktande cirkulation</t>
  </si>
  <si>
    <t>Total hjärninfarkt utvecklades ej, trots att förutsättningarna för detta bedömdes föreligga</t>
  </si>
  <si>
    <t>Av IVA-personal bedömts vara olämplig som donator av medicinska skäl utan kontakt med transplantationsverksamhet
Detta alternativ används då intensivvårdsavdelningens personal själva gjort bedömningen att donation inte är medicinskt lämpligt, utan tidigare kontakt med en transplantationsverksamhet
(Endast giltigt alternativ om kontakt ej togs med transplantationskoordinator (fråga 2.1.1))</t>
  </si>
  <si>
    <t>Av transplantationsverksamhet bedömts vara olämplig som donator av medicinska skäl.
Detta alternativ får endast användas om bedömningen gjorts av en transplantationsverksamhet
(Endast giltigt alternativ om kontakt togs med transplantationskoordinator (fråga 2.1.1))</t>
  </si>
  <si>
    <t>Negativt utfall vid utredning av donationsviljan
(Utredning av donationsviljan ska vara besvarad (fråga 4))</t>
  </si>
  <si>
    <t>"RättsObduktion"</t>
  </si>
  <si>
    <t>Rättsmedicinsk obduktion utesluter donation
Detta alternativ väljs då polis, eventuellt efter kontakt med rättsmedicin, beslutat att donation inte får utföras av rättssäkerhetsskäl</t>
  </si>
  <si>
    <t>"EjKompetens"</t>
  </si>
  <si>
    <t>Ej kompetens för diagnostik av dödsfallet med klinisk neurologisk undersökning</t>
  </si>
  <si>
    <t>"EjAngiografi"</t>
  </si>
  <si>
    <t>Ej möjlighet att bekräfta dödsfallet med cerebral angiografi</t>
  </si>
  <si>
    <t>"Vårdplatsbrist"</t>
  </si>
  <si>
    <t>Vård inför eventuell organdonation avslutades pga vårdplatsbrist på IVA.</t>
  </si>
  <si>
    <t>"DåligPrognos"</t>
  </si>
  <si>
    <t>Behandlingen avslutas pga sjukdomens dåliga prognos samt att förutsättningar för utveckling av total hjärninfarkt inte bedömdes föreligga</t>
  </si>
  <si>
    <t>"LångvarigtBeslutsoförmögen"</t>
  </si>
  <si>
    <t>Långvarigt beslutsoförmögen
Gäller för dödsfall efter 2022-06-30</t>
  </si>
  <si>
    <t>Fråga 3.1.2: Tiden från ankomst till IVA tills döden konstaterades med indirekta kriterier.
(Besvaras om dödsfallet konstaterades genom indirekta kriterier, samt att huvudorsaken till att
dödsfallet inte konstaterades genom direkta kriterier var någon av följande 'SviktandeCirkulation', 'BehandlingAvbruten', 'EjUtvecklat', 'Negativ', 'DåligPrognos')</t>
  </si>
  <si>
    <t>"GenomfördesDCD"</t>
  </si>
  <si>
    <t>Fråga 3.1.3: Genomfördes DCD?  (Protokoll för donation efter cirkulationsstillestånd)
(Besvaras om fråga 3.1.1 ej besvarats eller om svaret var något av 'EjUtvecklat', 'EjKompetens', 'EjAngiografi', 'DåligPrognos')</t>
  </si>
  <si>
    <t>"UtredningDonationsVilja"</t>
  </si>
  <si>
    <t>Fråga 4: Utredning av donationsviljan
(Besvaras om dödsorsaken konstaterades genom direkta kriterier eller om dödsorsaken konstaterats genom indirekta kriterier och orsaken till att dödsfallet inte konstaterades med direkta kriterier var negativt utfall vid utredning av donationsviljan)</t>
  </si>
  <si>
    <t>"Känd"</t>
  </si>
  <si>
    <t>Känd vilja</t>
  </si>
  <si>
    <t>"Tolkad"</t>
  </si>
  <si>
    <t>Tolkad vilja av närstående</t>
  </si>
  <si>
    <t>Okänd vilja.</t>
  </si>
  <si>
    <t>"EjAktuellt"</t>
  </si>
  <si>
    <t>Ej aktuellt med utredning av donationsviljan</t>
  </si>
  <si>
    <t>"KändViljaDokumentationssätt"</t>
  </si>
  <si>
    <t>Fråga 4.1.1: Dokumentationssätt för känd donationsvilja
(Besvaras om donationsviljan var känd)</t>
  </si>
  <si>
    <t>"Donationsregistret"</t>
  </si>
  <si>
    <t>Anmälan till Donationsregistret</t>
  </si>
  <si>
    <t>"Donationskort"</t>
  </si>
  <si>
    <t>Uppgifter på donationskort</t>
  </si>
  <si>
    <t>Meddelat närstående sin uppfattning</t>
  </si>
  <si>
    <t>"KändViljaPositiv"</t>
  </si>
  <si>
    <t>Fråga 4.1.2: Var donationsviljan positiv?
(Besvaras om donationsviljan var känd)</t>
  </si>
  <si>
    <t>"TolkadViljaPositiv"</t>
  </si>
  <si>
    <t>Fråga 4.2: Tolkad vilja av närstående</t>
  </si>
  <si>
    <t>"TolkadViljaOense"</t>
  </si>
  <si>
    <t>Fråga 4.2.3: Tolkad vilja där närstående är oense</t>
  </si>
  <si>
    <t>"OkändViljaUtfall"</t>
  </si>
  <si>
    <t>Fråga 4.3: Donationsviljan okänd</t>
  </si>
  <si>
    <t>"FörmodatSamtycke"</t>
  </si>
  <si>
    <t>Positivt utfall. Förutsättningar för donation förelåg, närstående utnyttjade inte sin vetorätt eller så saknades närstående"</t>
  </si>
  <si>
    <t>"NärståendeVetorätt"</t>
  </si>
  <si>
    <t>Negativt utfall. Närstående utnyttjade sin vetorätt</t>
  </si>
  <si>
    <t>"EjInformerat"</t>
  </si>
  <si>
    <t>Negativt utfall. Närstående fanns, men möjlighet att informera saknades</t>
  </si>
  <si>
    <t>"NärståendeOense"</t>
  </si>
  <si>
    <t>Negativt utfall. Närstående oense</t>
  </si>
  <si>
    <t>"EjIdentifierad"</t>
  </si>
  <si>
    <t>Negativt utfall. Avlidne har ej kunnat identifieras</t>
  </si>
  <si>
    <t>"NärståendeInformerade"</t>
  </si>
  <si>
    <t>Närstående informerades om organdonation eller så saknades närstående
Gäller från dödsfall från 2022-07-01</t>
  </si>
  <si>
    <t>"FördTillOperation"</t>
  </si>
  <si>
    <t>Fråga 5: Fördes patienten till operation i syfte att bli donator?</t>
  </si>
  <si>
    <t>Nej, patienten fördes inte till operation</t>
  </si>
  <si>
    <t>"FrånEgenIVA"</t>
  </si>
  <si>
    <t>Ja. Förd till operation från egen IVA
(Ej valbar om det ej var aktuellt med utredning av donationsviljan)</t>
  </si>
  <si>
    <t>"ViaAnnanIVA"</t>
  </si>
  <si>
    <t>Ja. Förd till operation via annan IVA
(Ej valbar om det ej var aktuellt med utredning av donationsviljan)</t>
  </si>
  <si>
    <t>"UtfördesHudincision"</t>
  </si>
  <si>
    <t>Fråga 5.1.2.1:	Gjordes hudincision i syfte att omhänderta organ för transplantation?
(Besvaras om förd till operation besvarats med Ja)</t>
  </si>
  <si>
    <t>"OrsakUteblivenDonation"</t>
  </si>
  <si>
    <t>Fråga 6: Ange huvudorsaken till utebliven donation</t>
  </si>
  <si>
    <t>"MottagareSaknas"</t>
  </si>
  <si>
    <t>Avsaknad av mottagare av organ</t>
  </si>
  <si>
    <t>"OrganisatoriskaOrsaker"</t>
  </si>
  <si>
    <t>Organisatoriska orsaker
Ex: ej tillgång till operationssal eller radiologi för karaktärisering, inga etablerade rutiner för transport, personalbrist</t>
  </si>
  <si>
    <t>Av transplantationsverksamhet bedömd som olämplig av medicinska skäl
Detta alternativ får endast användas om bedömningen gjorts av en transplantationsverksamhet
(Endast tillåtet som alternativ om om kontakt tagits med transplantationskoordinator)</t>
  </si>
  <si>
    <t>"OlämpligAvIVA"</t>
  </si>
  <si>
    <t>Av IVA-personal bedömd som olämplig av medicinska skäl utan kontakt med transplantationsverksamhet
Detta alternativ används då intensivvårdsavdelningens personal själva gjort bedömningen att donation inte är medicinskt lämpligt, utan tidigare kontakt med en transplantationsverksamhet
(Ej tillåtet alternativ om patienten fördes till operation i syfte att bli donator, eller om kontakt tagits med transplantationskoordinator</t>
  </si>
  <si>
    <t>"NärståendeVeto"</t>
  </si>
  <si>
    <t>Närstående ändrade sig till ett veto, alternativt framkom negativ donationsvilja sent i donationsprocessen
(Ej tillåtet alternativ om det ej var aktuellt med utredning av donationsviljan.)</t>
  </si>
  <si>
    <t>"SenNegativDonationsvilja"</t>
  </si>
  <si>
    <t>Negativ donationsvilja framkom sent i donationsprocessen
Gäller från 2022-07-01
(Ej tillåtet alternativ om det ej var aktuellt med utredning av donationsviljan.)</t>
  </si>
  <si>
    <t>Långvarigt beslutsoförmögen p g a förståndshandikapp el dyl
Gäller från 2022-07-01</t>
  </si>
  <si>
    <t>"ÖvrigaSkäl"</t>
  </si>
  <si>
    <t>Övriga skäl
Gäller från 2022-07-01</t>
  </si>
  <si>
    <t>Fråga 7: Uppgifterna granskade av donationsansvarig läkare/sjuksköterska (DAL/DAS)?</t>
  </si>
  <si>
    <t>26.01</t>
  </si>
  <si>
    <t xml:space="preserve">Avliden på Iva 2020 kan bara rapporteras för de som avlidit fr.o.m 2020-01-01 t.o.m. 2023-12-31 </t>
  </si>
  <si>
    <t>26.02</t>
  </si>
  <si>
    <t>'Avliden på IVA' skall bara rapporteras för vårdtillfällen av typen IVA, BIVA eller TIVA</t>
  </si>
  <si>
    <t>26.03</t>
  </si>
  <si>
    <t>Orsak till hjärnskada ska besvaras om tecken på svår nytillkommen hjärnskada föreligger. Annars ska det inte besvaras.</t>
  </si>
  <si>
    <t>26.04</t>
  </si>
  <si>
    <t>'Totalhjärnskada' ska endast besvaras om tecken på svår nytillkommen hjärnskada förelåg</t>
  </si>
  <si>
    <t>26.05</t>
  </si>
  <si>
    <t>'KontaktTransplantationsKoordinator' ska endast besvaras då kriterierna för total hjärnskada är uppfyllda och invasiv ventilation förekom</t>
  </si>
  <si>
    <t>26.06</t>
  </si>
  <si>
    <t>Orsaken till att patienten inte vårdades med IVB ska besvaras om svår nytillkommen hjärnskada fanns och Ventilation besvarats med Nej</t>
  </si>
  <si>
    <t>26.07</t>
  </si>
  <si>
    <t>'OrsakIndirektaKriterier' ska endast besvaras om dödsfallet konstaterades genom indirekta kriterier och invasiv ventilatorbehandling förekom</t>
  </si>
  <si>
    <t>26.08</t>
  </si>
  <si>
    <t>'OlämpligAvIVA' är ej ett tillåtet svar på 'OrsakIndirektaKriterier' om kontakt tagits med transplantationskoordinator (enl. riktlinje 3.1.1.4)</t>
  </si>
  <si>
    <t>26.09</t>
  </si>
  <si>
    <t>'OlämpligAvTransp' är ej ett tillåtet svar på 'OrsakIndirektaKriterier' om kontakt ej tagits med transplantationskoordinator (enl. riktlinje 3.1.1.5)</t>
  </si>
  <si>
    <t>26.10</t>
  </si>
  <si>
    <t>'Tiduppmärksammad' ska endast besvaras om huvudorsak till att dödsfall konstaterats med Indirekta kriterier besvarats med 'SviktandeCirkulation', 'Avbruten', 'EjUtvecklat', 'Negativ' eller 'DåligPrognos'</t>
  </si>
  <si>
    <t>26.11</t>
  </si>
  <si>
    <t>'Genomfördes DCD' ska endast besvaras om  orsak till ej direkta kriterier är ej besvarat eller en av följande valdes:'Total hjärninfarkt utvecklades ej', 'Ej kompetens', 'Ej angiografi' eller 'Sjukdomens dåliga prognos'</t>
  </si>
  <si>
    <t>26.12</t>
  </si>
  <si>
    <t>Dödsfallet kan endast konstateras med direkta kriterier om kriterierna för total hjärnskada är uppfyllda och invasiv ventilation förekom</t>
  </si>
  <si>
    <t>26.13</t>
  </si>
  <si>
    <t>Utredning av donationsviljan ska endast besvaras om dödsorsaken konstaterats genom direkta kriterier eller om orsaken till att dödsorsaken ej kunde konstateras genom direkta kriterier var 'negativt utfall vid utredning av donationsviljan'.</t>
  </si>
  <si>
    <t>26.14</t>
  </si>
  <si>
    <t>Dokumenationssätt för känd donationsvilja ska endast besvaras om viljan var känd</t>
  </si>
  <si>
    <t>26.15</t>
  </si>
  <si>
    <t>'KändViljaPositiv' ska endast besvaras om donationsviljan var känd</t>
  </si>
  <si>
    <t>26.16</t>
  </si>
  <si>
    <t>Den kända donationsviljan kan ej vara positiv om orsaken till att dödsfallet inte kunde konstateras med direkta kriterier var 'Negativt utfall vid utredning av donationsviljan'</t>
  </si>
  <si>
    <t>26.17</t>
  </si>
  <si>
    <t>'TolkadViljaPositiv' eller 'TolkadViljaOense' ska besvaras då, och endast då, donationsviljan är tolkad</t>
  </si>
  <si>
    <t>26.18</t>
  </si>
  <si>
    <t>Den tolkade donationsviljan kan ej vara positiv om orsaken till att dödsfallet inte kunde konstateras med direkta kriterier var 'Negativt utfall vid utredning av donationsviljan'</t>
  </si>
  <si>
    <t>26.19</t>
  </si>
  <si>
    <t>'OkändViljaUtfall' ska endast besvaras om donationsviljan var okänd</t>
  </si>
  <si>
    <t>26.20</t>
  </si>
  <si>
    <t>Den okända donationsviljan kan ej vara 'FörmodatSamtycke' om orsaken till att dödsfallet inte kunde konstateras med direkta kriterier var 'Negativt utfall vid utredning av donationsviljan'</t>
  </si>
  <si>
    <t>26.21</t>
  </si>
  <si>
    <t>'Ej aktuellt med utredning av donationsviljan' är ej ett tillåtet alternativ om orsaken till att dödsfallet inte kunde konstateras med direkta kriterier var 'Negativt utfall vid utredning av donationsviljan'</t>
  </si>
  <si>
    <t>26.22</t>
  </si>
  <si>
    <t>'FördTillOperation' ska endast besvaras om dödsfallet konstaterades med direkta kriterier samt att donationsviljan var positiv eller om det ej var aktuellt med utredning av donationsviljan</t>
  </si>
  <si>
    <t>26.23</t>
  </si>
  <si>
    <t>'FördTillOperation' kan ej vara positiv om det ej var aktuellt med utredning av donationsviljan.</t>
  </si>
  <si>
    <t>26.24</t>
  </si>
  <si>
    <t>'UtfördesHudincision' ska endast besvaras om patienten var förd till operation</t>
  </si>
  <si>
    <t>26.25</t>
  </si>
  <si>
    <t>'OrsakUteblivenDonation' ska endast besvaras om patienten var förd till operation och hudincision utfördes</t>
  </si>
  <si>
    <t>26.26</t>
  </si>
  <si>
    <t>'Av transplantationsverksamhet bedömts vara olämplig som donator av medicinska skäl.' kan endast väljas som huvudorsak till utebliven donation om kontakt tagits med transplantationskoordinator</t>
  </si>
  <si>
    <t>26.27</t>
  </si>
  <si>
    <t>'Av IVA-personal bedömts vara olämplig som donator av medicinska skäl utan kontakt med transplantationsverksamhet' kan endast väljas som huvudorsak till utebliven donation om kontakt ej tagits med transplantationskoordinator, och om patienten ej är förd till operation</t>
  </si>
  <si>
    <t>26.28</t>
  </si>
  <si>
    <t>'Närstående ändrade sig till ett veto' kan ej väljas som huvudorsak till utebliven donation om det ej var aktuellt med utredning av donationsviljan</t>
  </si>
  <si>
    <t>26.29</t>
  </si>
  <si>
    <t>26.30</t>
  </si>
  <si>
    <t>'OkändViljaUtfall': Närståendeveto utgick 2022-07-01 och kan inte väljas.</t>
  </si>
  <si>
    <t>26.31</t>
  </si>
  <si>
    <t>'TolkadViljaOense' får ej besvaras med true då 'TolkadViljaPositiv' besvarats.</t>
  </si>
  <si>
    <t>26.32</t>
  </si>
  <si>
    <t>'Beslutsoförmögen' kan endast anges om den avlidne är 18 år eller äldre</t>
  </si>
  <si>
    <t>26.33</t>
  </si>
  <si>
    <t>Typ: Avliden2024</t>
  </si>
  <si>
    <t>"DokumenteratBrytpunktsbeslut"</t>
  </si>
  <si>
    <t>Fråga 1. Finns ett korrekt dokumenterat brytpunktsbeslut?
Det ska framgå vid vilken tidpunkt brytpunktsbeslutet togs och på vilka grunder
samt vilka läkare som deltog i beslutet (minst två leg. läkare)</t>
  </si>
  <si>
    <t>Fråga 2. Möjlig donator, DBD eller DCD? Var patienten en möjlig donator?</t>
  </si>
  <si>
    <t>"Ja-DBD"</t>
  </si>
  <si>
    <t>Ja – DBD Patient med svår nytillkommen hjärnskada och båda 1-2 nedan uppfyllda:
1. RLS &gt; 6 eller GCS &lt; 5
2. Nytillkommet bortfall av minst en kranialnervsreflex</t>
  </si>
  <si>
    <t>"Ja-DCD"</t>
  </si>
  <si>
    <t>Ja – DCD Brytpunktsbeslut taget. Pat stabil i vitala parametrar under pågående intensivvård/organbevarande behandling</t>
  </si>
  <si>
    <t>"NejKorrigeradÅlder"</t>
  </si>
  <si>
    <t>Nej patienten &lt; 28 d korrigerad ålder</t>
  </si>
  <si>
    <t>"KontaktMedTransplantationskoordinator"</t>
  </si>
  <si>
    <t>Togs kontakt med transplationskoordinator</t>
  </si>
  <si>
    <t>"VarförEjKontaktMedKoordinator"</t>
  </si>
  <si>
    <t>Nej - Varför togs inte kontakt med transplantationskoordinator?</t>
  </si>
  <si>
    <t>"EjUppDon"</t>
  </si>
  <si>
    <t>3.2.1 Ej uppmärksammad donationsmöjlighet</t>
  </si>
  <si>
    <t>"EjInklämEjUppDCD"</t>
  </si>
  <si>
    <t>3.2.2 Bedömdes inte utveckla hjärnstamsinklämning och
uppmärksammades inte som möjlig DCD donator (fråga 7 besvaras)
valbar endast om 2.1.1 valts</t>
  </si>
  <si>
    <t>"EjInklämEjDCDtidsint"</t>
  </si>
  <si>
    <t>3.2.3  Bedömdes inte utveckla hjärnstamsinklämning och
bedömdes heller inte avlida inom längsta tidsintervallet för DCD (fråga 7 besvaras)
valbar endast om 2.1.1 valts</t>
  </si>
  <si>
    <t>"EjInklämEjDCDavd"</t>
  </si>
  <si>
    <t>3.2.4 Bedömdes inte utveckla hjärnstamsinklämning och
DCD var ej implementerat på avdelningen (fråga 7 besvaras)
valbar endast om 2.1.1 valts</t>
  </si>
  <si>
    <t>"EjDCDtidsint"</t>
  </si>
  <si>
    <t>3.2.5 Bedömdes inte avlida inom längsta tidsintervallet för DCD (fråga 7 besvaras)
valbar endast om 2.1.2 valts</t>
  </si>
  <si>
    <t>"EjDCDavd"</t>
  </si>
  <si>
    <t>3.2.6 DCD ej implementerat på avdelningen valbar endast om 2.1.2 valts</t>
  </si>
  <si>
    <t>"IVAolämp"</t>
  </si>
  <si>
    <t>3.2.7 Av IVA-personal bedömts vara olämplig som donator av medicinska skäl</t>
  </si>
  <si>
    <t>"SviktadeVitalParametrar"</t>
  </si>
  <si>
    <t>3.2.8 Sviktande vitalparametrar, tex terapiresistent cirkulationssvikt</t>
  </si>
  <si>
    <t>"TidBegr"</t>
  </si>
  <si>
    <t>3.2.9 Tidigare behandlingsbegränsningar-vården avslutas</t>
  </si>
  <si>
    <t>"AccEjBrytP"</t>
  </si>
  <si>
    <t>3.2.10 Närstående accepterar ej brytpunktsbeslut</t>
  </si>
  <si>
    <t>"AccEjOrgBeh"</t>
  </si>
  <si>
    <t>3.2.11 Känt/tolkat att patienten inte accepterar organbevarande behandling</t>
  </si>
  <si>
    <t>"Oident"</t>
  </si>
  <si>
    <t>3.2.12 Den avlidna har ej kunnat identifieras</t>
  </si>
  <si>
    <t>"PolisVeto"</t>
  </si>
  <si>
    <t>3.2.13 Polis-veto (tidigt)</t>
  </si>
  <si>
    <t>"BeslutOförm"</t>
  </si>
  <si>
    <t>3.2.14 Långvarigt beslutsoförmögen i vuxen ålder</t>
  </si>
  <si>
    <t>"OrsakFramgårInte"</t>
  </si>
  <si>
    <t>3.2.15 Orsak framgår inte</t>
  </si>
  <si>
    <t>4.Utreddes donationsviljan?</t>
  </si>
  <si>
    <t>"InställningPositiv"</t>
  </si>
  <si>
    <t>4.1.1.	 Positiv till donation</t>
  </si>
  <si>
    <t>"DonReg"</t>
  </si>
  <si>
    <t>4.1.1.1.1.	Känd positiv vilja (flerval)
4.1.1.1.1.1.	Anmälan till donationsregistret</t>
  </si>
  <si>
    <t>"Skriftlig"</t>
  </si>
  <si>
    <t>4.1.1.1.1.	Känd positiv vilja (flerval)
4.1.1.1.1.2.	Meddelat sin vilja skriftligt eller digitalt (donationskort mm)</t>
  </si>
  <si>
    <t>"Muntlig"</t>
  </si>
  <si>
    <t>4.1.1.1.1.	Känd positiv vilja (flerval)
4.1.1.1.1.3.	Meddelat närstående sin vilja muntligt</t>
  </si>
  <si>
    <t>4.1.1.1.2.	Tolkad positiv vilja</t>
  </si>
  <si>
    <t>"Vårdnadshavare"</t>
  </si>
  <si>
    <t>4.1.1.1.3.	Vårdnadshavare positiva till donation (Pat &lt;18 år)</t>
  </si>
  <si>
    <t>"InställningPositivTillAnnat"</t>
  </si>
  <si>
    <t>4.1.1.2.	Positiv till donation till Annat medicinskt ändamål</t>
  </si>
  <si>
    <t>"Ja"</t>
  </si>
  <si>
    <t>Ja</t>
  </si>
  <si>
    <t>"VetEj"</t>
  </si>
  <si>
    <t>Vet ej</t>
  </si>
  <si>
    <t>"InställningNegativ"</t>
  </si>
  <si>
    <t>4.1.2.	 Negativ till donation</t>
  </si>
  <si>
    <t>4.1.2.1.	Känd negativ vilja (flerval)
4.1.2.1.1.	Anmälan till donationsregistret</t>
  </si>
  <si>
    <t>4.1.2.1.	Känd negativ vilja (flerval)
4.1.2.1.2.	Meddelat sin vilja skriftligt eller digitalt (donationskort mm)</t>
  </si>
  <si>
    <t>4.1.2.1.	Känd negativ vilja (flerval)
4.1.2.1.3.	Meddelat närstående sin vilja muntligt</t>
  </si>
  <si>
    <t>4.1.2.2.	Tolkad negativ vilja (inkluderar närstående som är oense i tolkningen)</t>
  </si>
  <si>
    <t>4.1.2.3.	Vårdnadshavare negativa till donation (Pat &lt; 18 år)</t>
  </si>
  <si>
    <t>"OkändVilja"</t>
  </si>
  <si>
    <t>4.1.3.	 Okänd vilja</t>
  </si>
  <si>
    <t>4.1.3.1.	Förmodat samtycke (inkluderar de fall där det är helt uteslutet att det finns närstående)</t>
  </si>
  <si>
    <t>"EjFörmodatSamtycke"</t>
  </si>
  <si>
    <t>4.1.3.2.	Ej förmodat samtycke (närstående finns men kan inte nås)</t>
  </si>
  <si>
    <t>"DonationsViljaEjUtredd"</t>
  </si>
  <si>
    <t>..Nej</t>
  </si>
  <si>
    <t>"TranspOlämp"</t>
  </si>
  <si>
    <t>4.2.1 Av transplantationsenhet bedömts vara olämplig som donator av medicinska skäl</t>
  </si>
  <si>
    <t>4.2.2 Bedömdes inte utveckla hjärnstamsinklämning och uppmärksammades
inte som möjlig DCD donator (fråga 7 besvaras)
valbar endast om 2.1.1 valts</t>
  </si>
  <si>
    <t>4.2.3.	 Bedömdes inte utveckla hjärnstamsinklämning och
bedömdes heller inte avlida inom längsta tidsintervallet för DCD (fråga 7 besvaras)
valbar endast om 2.1.1 valts</t>
  </si>
  <si>
    <t>4.2.4.	Bedömdes inte utveckla hjärnstamsinklämning och DCD var ej implementerat
på avdelningen (fråga 7 besvaras)
valbar endast om 2.1.1 valts</t>
  </si>
  <si>
    <t>4.2.5.	Bedömdes inte avlida inom längsta tidsintervallet
för DCD (fråga 7 besvaras)
valbar endast om 2.1.2 valts</t>
  </si>
  <si>
    <t>4.2.6 Av IVA-personal bedömts vara olämplig som donator av medicinska skäl</t>
  </si>
  <si>
    <t>4.2.7 Sviktande vitalparametrar, tex terapiresistent cirkulationssvikt</t>
  </si>
  <si>
    <t>4.2.8 Tidigare behandlingsbegränsningar-vården avslutas</t>
  </si>
  <si>
    <t>4.2.9 Närstående accepterar ej brytpunktsbeslut</t>
  </si>
  <si>
    <t>4.2.10 Känt/tolkat att patienten inte accepterar organbevarande behandling</t>
  </si>
  <si>
    <t>4.2.11 Den avlidna har ej kunnat identifieras</t>
  </si>
  <si>
    <t>4.2.12 Polis-veto (tidigt)</t>
  </si>
  <si>
    <t>4.2.13 Långvarigt beslutsoförmögen i vuxen ålder</t>
  </si>
  <si>
    <t>4.2.14 Orsak framgår inte</t>
  </si>
  <si>
    <t>"KontaktMedPolisen"</t>
  </si>
  <si>
    <t>5.	Kontaktades polisen? Beroende på hur processen drivits kan poliskontakt hunnit tas.</t>
  </si>
  <si>
    <t>"JaVeto"</t>
  </si>
  <si>
    <t>..5.1.	Ja
5.1.1.	 Veto från polis / rättsmedicin</t>
  </si>
  <si>
    <t>"JaEjVeto"</t>
  </si>
  <si>
    <t>..5.1.	Ja
5.1.1.2.	Nej (Nej Veto från polis / rättsmedicin)</t>
  </si>
  <si>
    <t>"JaVetoVissa"</t>
  </si>
  <si>
    <t>..5.1.	Ja
5.1.1.2.	Nej (5.1.1.3.	Nej men bara donation av vissa organ (förbehåll) Veto från polis / rättsmedicin)</t>
  </si>
  <si>
    <t>5.2.	Nej</t>
  </si>
  <si>
    <t>"AktuellOrgandonator"</t>
  </si>
  <si>
    <t>6.	Blev patienten aktuell organdonator (dvs genomfördes knivstart på uttagsoperation)</t>
  </si>
  <si>
    <t>"AktuellOrgandonatorTyp"</t>
  </si>
  <si>
    <t>6.	Var det som DBD?    (annars DCD)</t>
  </si>
  <si>
    <t>"DBD"</t>
  </si>
  <si>
    <t>6.1.1.1.	DBD - Dödförklaring med Direkta kriterier</t>
  </si>
  <si>
    <t>"KliniskNeurologiskUndersökning"</t>
  </si>
  <si>
    <t>6.1.1.1.1.	Klinisk neurologisk undersökning</t>
  </si>
  <si>
    <t>"KlinNeuroUndersökningFyrkärlsangiografi"</t>
  </si>
  <si>
    <t>6.1.1.1.2.	Klinisk neurologisk undersökning och cerebral fyrkärlsangiografi</t>
  </si>
  <si>
    <t>"KlinNeuroUndersökningGammakamera"</t>
  </si>
  <si>
    <t>6.1.1.1.3.	Klinisk neurologisk undersökning och gammakamera</t>
  </si>
  <si>
    <t>"DCD"</t>
  </si>
  <si>
    <t>6.1.1.2.	DCD - Dödförklaring med indirekta kriterier (fråga 7 besvaras)</t>
  </si>
  <si>
    <t>"EjUtvecklatHjärnstamsinklämning"</t>
  </si>
  <si>
    <t>6.1.1.2.1.1.	Hjärnstamsinklämning utvecklades ej (fråga 7 besvaras)</t>
  </si>
  <si>
    <t>"NärståendeAccepterarEjDirektaKriterier"</t>
  </si>
  <si>
    <t>6.1.1.2.1.2.	Närstående accepterar inte dödförklaring med direkta kriterier</t>
  </si>
  <si>
    <t>"AndraOrsaker"</t>
  </si>
  <si>
    <t>6.1.1.2.1.3.	Organisatoriska/Resursmässiga/Kompetensmässiga orsaker till att DBD inte kunde genomföras</t>
  </si>
  <si>
    <t>"OrsakTillUteblivenDonation"</t>
  </si>
  <si>
    <t>Ange huvudorsaken till utebliven donation</t>
  </si>
  <si>
    <t>"EjInkläm"</t>
  </si>
  <si>
    <t>6.2.1.1.	Hjärnstamsinklämning utvecklades ej (fråga 7 besvaras) -
valbar endast om 2.1.1 valts</t>
  </si>
  <si>
    <t>"AccEjDirekta"</t>
  </si>
  <si>
    <t>6.2.1.2.	Närstående accepterar inte dödförklaring med direkta kriterier -
valbar endast om 2.1.1 valts</t>
  </si>
  <si>
    <t>6.2.1.3.	Bedömdes ej avlida inom tidsintervall för DCD valbar endast om 2.1.2 valts</t>
  </si>
  <si>
    <t>"StandDown"</t>
  </si>
  <si>
    <t>6.2.1.4.	Bedömdes avlida inom tidsintervall för DCD men gjorde inte det (Stand-down)
valbar endast om 2.1.2 valts</t>
  </si>
  <si>
    <t>6.2.1.5.	Av transplantationsverksamhet bedömts vara olämplig som donator
av medicinska skäl</t>
  </si>
  <si>
    <t>"SviktandeVitalparametrar"</t>
  </si>
  <si>
    <t>6.2.1.6.	Sviktande vitalparametrar, tex terapiresistent cirkulationssvikt
av medicinska skäl</t>
  </si>
  <si>
    <t>6.2.1.7.	Framkom att patienten inte accepterar organbevarande behandling</t>
  </si>
  <si>
    <t>"Polisveto"</t>
  </si>
  <si>
    <t>6.2.1.8.	Polisveto (sent)</t>
  </si>
  <si>
    <t>6.2.1.9.	Organisatoriska/Resursmässiga/Kompetens orsaker</t>
  </si>
  <si>
    <t>"AvsaknadAvMottagare"</t>
  </si>
  <si>
    <t>6.2.1.10.	Avsaknad av mottagare (av organ)</t>
  </si>
  <si>
    <t>6.2.1.11.	Orsak framgår inte</t>
  </si>
  <si>
    <t>"VarförGenomfördesInteDCD"</t>
  </si>
  <si>
    <t>Varför genomfördes inte DCD?</t>
  </si>
  <si>
    <t>6.2.2.1.	Bedömdes ej avlida inom tidsintervall för DCD</t>
  </si>
  <si>
    <t>6.2.2.2.	Bedömdes avlida inom tidsintervall för DCD men gjorde inte det (Stand-down)
valbar endast om 2.1.1 valts</t>
  </si>
  <si>
    <t>"EjUppmärksammadSomMöjligDonator"</t>
  </si>
  <si>
    <t>6.2.2.3.	Patient uppmärksammades inte som möjlig DCD donator</t>
  </si>
  <si>
    <t>6.2.2.4.	DCD ej implementerat på avdelningen</t>
  </si>
  <si>
    <t>"OlämpligSomDCDdonatorMedicinskaSkäl"</t>
  </si>
  <si>
    <t>6.2.2.5    Av transplantationsverksamhet bedömts vara olämplig som DCD-donator av medicinska skäl</t>
  </si>
  <si>
    <t>"TidFrånAnkomstTillsAvbrytandeAvIntensivvård"</t>
  </si>
  <si>
    <t>7.1 Besvaras endast om 2.1.1 besvarats
Hur lång tid från ankomst till IVA tills avbrytande av intensivvård?</t>
  </si>
  <si>
    <t>"-6h"</t>
  </si>
  <si>
    <t>"6h-12h"</t>
  </si>
  <si>
    <t>"12h-24h"</t>
  </si>
  <si>
    <t>"24h-48h"</t>
  </si>
  <si>
    <t>"48h-72h"</t>
  </si>
  <si>
    <t>"3-4d"</t>
  </si>
  <si>
    <t>3-4 dygn</t>
  </si>
  <si>
    <t>"4-5d"</t>
  </si>
  <si>
    <t>4-5 dygn</t>
  </si>
  <si>
    <t>"5-6d"</t>
  </si>
  <si>
    <t>5-6 dygn</t>
  </si>
  <si>
    <t>"6-7d"</t>
  </si>
  <si>
    <t>6-7 dygn</t>
  </si>
  <si>
    <t>"7d-"</t>
  </si>
  <si>
    <t>Mer än 7 dygn</t>
  </si>
  <si>
    <t>"AccepteratTidsintervall"</t>
  </si>
  <si>
    <t>7.2 och 7.3 Besvaras endast om 3.2.3, 3.2.5, 4.2.3, 4.2.5, 6.1.1.2, 6.2.1.3, 6.1.2.4, 6.2.2.1, 6.2.2.2 besvarats
7.2 Längsta accepterade tidsintervall från avbrytande till cirkulationsstillestånd enligt plan</t>
  </si>
  <si>
    <t>"60"</t>
  </si>
  <si>
    <t>60</t>
  </si>
  <si>
    <t>"90"</t>
  </si>
  <si>
    <t>90</t>
  </si>
  <si>
    <t>"180"</t>
  </si>
  <si>
    <t>180</t>
  </si>
  <si>
    <t>"FaktisktTidsintervall"</t>
  </si>
  <si>
    <t>7.3 Faktiskt tidsintervall från avbrytande till cirkulationsstillestånd</t>
  </si>
  <si>
    <t>"-30"</t>
  </si>
  <si>
    <t>Mindre än 30 minuter</t>
  </si>
  <si>
    <t>"30-60"</t>
  </si>
  <si>
    <t>30 - 60 minuter</t>
  </si>
  <si>
    <t>"61-90"</t>
  </si>
  <si>
    <t>60 - 90 minuter</t>
  </si>
  <si>
    <t>"91-180"</t>
  </si>
  <si>
    <t>91 - 180 minuter</t>
  </si>
  <si>
    <t>"180min-4h"</t>
  </si>
  <si>
    <t>Mer än 180 minuter upp till 4 timmar</t>
  </si>
  <si>
    <t>"4-12"</t>
  </si>
  <si>
    <t>Mer än 4 timmar upp till 12 timmar – ej valbar om 6.1.1.2 valts</t>
  </si>
  <si>
    <t>"12-24h"</t>
  </si>
  <si>
    <t>Mer än 12 timmar upp till 1 dygn – ej valbar om 6.1.1.2 valts</t>
  </si>
  <si>
    <t>"&gt;1dygn"</t>
  </si>
  <si>
    <t>Mer än 1 dygn upp till 2 dygn – ej valbar om 6.1.1.2 valts</t>
  </si>
  <si>
    <t>"FramgårEj"</t>
  </si>
  <si>
    <t>Framgår ej – ej valbar om 6.1.1.2 valts</t>
  </si>
  <si>
    <t>Fråga 8. Granskat av DAL/DAS?</t>
  </si>
  <si>
    <t>31.01</t>
  </si>
  <si>
    <t>Avliden på Iva 2024 kan bara rapporteras för de som avlidit efter 2024-01-01</t>
  </si>
  <si>
    <t>31.02</t>
  </si>
  <si>
    <t>31.03</t>
  </si>
  <si>
    <t>31.04</t>
  </si>
  <si>
    <t>'Nej patienten &lt;28 d korrigerad ålder' är inte ett giltigt svar eftersom patienten är äldre</t>
  </si>
  <si>
    <t>31.05</t>
  </si>
  <si>
    <t>'Kontakt med transplantationskoordinator' ska ej besvaras eftersom patienten inte är en möjlig donator</t>
  </si>
  <si>
    <t>31.06</t>
  </si>
  <si>
    <t>'Varför togs inte kontakt med transplantationskoordinator?' ska inte besvaras eftersom kontakten med transplantationskoordinator har tagits</t>
  </si>
  <si>
    <t>31.07</t>
  </si>
  <si>
    <t>Ej kontakt med transplantationskoordinator - Alternativet kan endast besvaras om möjlig donator besvarats med DBD</t>
  </si>
  <si>
    <t>31.08</t>
  </si>
  <si>
    <t>Ej kontakt med transplantationskoordinator - Alternativet kan endast besvaras om möjlig donator besvarats med DCD</t>
  </si>
  <si>
    <t>31.09</t>
  </si>
  <si>
    <t>31.20</t>
  </si>
  <si>
    <t>'Utredning donationsvilja' ska besvaras då kontakt med transplantationskoordinator tagits</t>
  </si>
  <si>
    <t>31.21</t>
  </si>
  <si>
    <t>'Inställning positiv', 'Inställning negativ' eller 'Okänd vilja' ska besvaras om donationsviljan är utredd för en möjlig donator</t>
  </si>
  <si>
    <t>31.22</t>
  </si>
  <si>
    <t>'Vårdnadshavare positiva till donation' kan bara väljas då patienten är under 18 år</t>
  </si>
  <si>
    <t>31.23</t>
  </si>
  <si>
    <t>'Vårdnadshavare negativa till donation' kan bara väljas då patienten är under 18 år</t>
  </si>
  <si>
    <t>31.24</t>
  </si>
  <si>
    <t>Positiv till donation - Flerval kan anges endast då man har Känd positiv vilja</t>
  </si>
  <si>
    <t>31.25</t>
  </si>
  <si>
    <t>Negativ till donation - Flerval kan anges endast då man har Känd Negativ vilja</t>
  </si>
  <si>
    <t>31.26</t>
  </si>
  <si>
    <t>'Positiv till annat' ska anges då donationsviljan är 'Positiv till donation'</t>
  </si>
  <si>
    <t>31.27</t>
  </si>
  <si>
    <t>'Donationsvilja ej utredd' ska besvaras då donationsviljan ej utretts</t>
  </si>
  <si>
    <t>31.28</t>
  </si>
  <si>
    <t>Ej utredd donationsvilja - Alternativet kan endast besvaras om möjlig donator besvarats med DBD</t>
  </si>
  <si>
    <t>31.29</t>
  </si>
  <si>
    <t>Ej utredd donationsvilja - Alternativet kan endast besvaras om möjlig donator besvarats med DCD</t>
  </si>
  <si>
    <t>31.30</t>
  </si>
  <si>
    <t>Ej utredd donationsvilja - 'Beslutsoförmögen' kan endast anges om den avlidne är 18 år eller äldre</t>
  </si>
  <si>
    <t>31.40</t>
  </si>
  <si>
    <t>'Kontaktades polis' ska besvaras om donationsviljan har utretts</t>
  </si>
  <si>
    <t>31.50</t>
  </si>
  <si>
    <t>'Blev patienten en aktuell donator' ska besvaras</t>
  </si>
  <si>
    <t>31.51</t>
  </si>
  <si>
    <t>Antingen DBD eller DCD ska besvaras eftersom patienten blev aktuell organdonator</t>
  </si>
  <si>
    <t>31.52</t>
  </si>
  <si>
    <t>Huvudorsak till utebliven donation behöver anges</t>
  </si>
  <si>
    <t>31.53</t>
  </si>
  <si>
    <t>Utebliven donation - Alternativet kan endast besvaras om möjlig donator besvarats med DBD</t>
  </si>
  <si>
    <t>31.54</t>
  </si>
  <si>
    <t>Utebliven donation - Alternativet kan endast besvaras om möjlig donator besvarats med DCD</t>
  </si>
  <si>
    <t>31.55</t>
  </si>
  <si>
    <t>'Varför genomfördes inte DCD' ska besvaras</t>
  </si>
  <si>
    <t>31.60</t>
  </si>
  <si>
    <t>'Hur lång tid från ankomst till IVA tills avbrytande av intensivvård/organbevarande behandling' ska besvaras.</t>
  </si>
  <si>
    <t>31.61</t>
  </si>
  <si>
    <t>'Längsta accepterade tidsintervall från avbrytande till cirkulationsstillestånd' ska besvaras.</t>
  </si>
  <si>
    <t>31.62</t>
  </si>
  <si>
    <t>'Faktiskt tidsintervall från avbrytande till cirkulationsstillestånd' ska besvaras.</t>
  </si>
  <si>
    <t>31.63</t>
  </si>
  <si>
    <t>Svar på mer än 4 timmar eller Framgår ej kan ej anges då DCD genomförts</t>
  </si>
  <si>
    <t>31.64</t>
  </si>
  <si>
    <t>Avlidna på IVA ska inte registreras på IMA</t>
  </si>
  <si>
    <t>Typ: ViktOchLängd</t>
  </si>
  <si>
    <t>Längd i meter med två decimaler</t>
  </si>
  <si>
    <t>Mätenhet (m) - meter</t>
  </si>
  <si>
    <t>"PreIVAVikt"</t>
  </si>
  <si>
    <t>Vikt före aktuellt insjuknande
(Vikt anges i kilo med en decimal.)</t>
  </si>
  <si>
    <t>"AnkomstIVAVikt"</t>
  </si>
  <si>
    <t>Vikt vid ankomst till IVA.
(Vikt anges i kilo med en decimal.)</t>
  </si>
  <si>
    <t>"UtskrivningIVAVikt"</t>
  </si>
  <si>
    <t>Vikt vid utskrivning från IVA
(Vikt anges i kilo med en decimal.)</t>
  </si>
  <si>
    <t>"DagligaVikter"</t>
  </si>
  <si>
    <t>Vikt uppmätt mellan 07.00-06.59 kan noteras tillhörande dygnet.
Om flera vikter förekommer anges vikt under förmiddagen det dygn som avses.
Man kan hoppa över dygn om man saknar uppgift.
(Vikt anges i kilo med en decimal.)</t>
  </si>
  <si>
    <t>17.01</t>
  </si>
  <si>
    <t>Datum för Daglig vikt kan inte vara en tidpunkt som ligger mer än ett dygn före vårdtillfällets start</t>
  </si>
  <si>
    <t>17.02</t>
  </si>
  <si>
    <t>Angiven längd måste ha ett rimligt värde, 0,2 - 2,5 m</t>
  </si>
  <si>
    <t>17.03</t>
  </si>
  <si>
    <t xml:space="preserve">Angiven vikt måste ha ett rimligt värde, 0,2 - 650 kg </t>
  </si>
  <si>
    <t>17.04</t>
  </si>
  <si>
    <t xml:space="preserve">Angiven vikt och längd måste ge ett rimligt BMI mellan 4 kg/m2 och 150 kg/m2 </t>
  </si>
  <si>
    <t>17.05</t>
  </si>
  <si>
    <t xml:space="preserve">Angiven daglig vikt måste ha ett rimligt värde, 0,2 - 650 kg </t>
  </si>
  <si>
    <t>17.06</t>
  </si>
  <si>
    <t xml:space="preserve">Angiven daglig vikt och längd måste ge ett rimligt BMI mellan 4 kg/m2 och 150 kg/m2 </t>
  </si>
  <si>
    <t>Typ: Komplikation2012</t>
  </si>
  <si>
    <t>"Kod"</t>
  </si>
  <si>
    <t>Kod för negativ händelse eller komplikation enl SIR:s rekommendationer.</t>
  </si>
  <si>
    <t>Texten får maximalt vara 6 tecken lång</t>
  </si>
  <si>
    <t>Datum (+ eventuellt tid) för komplikation
Obligatoriskt för samtliga komplikationer med undantag för SK-411 och SK-421</t>
  </si>
  <si>
    <t>"Text"</t>
  </si>
  <si>
    <t>Fritext för komplikation SK-999. Max 250 tecken.</t>
  </si>
  <si>
    <t>Texten får maximalt vara 250 tecken lång</t>
  </si>
  <si>
    <t>11.05</t>
  </si>
  <si>
    <t>'Higgins' ska inte registreras på IMA</t>
  </si>
  <si>
    <t>19.01</t>
  </si>
  <si>
    <t xml:space="preserve">Kontrollera komplikationen så att:
	-koden är en av SIR:s definierade komplikationskoder
	-koden är giltig vid vårdtillfällets start
	-koden är giltig för vårdtypen för vårdtillfället
	-koden inte är en samlingskod och ska därmed inte rapporteras
	-tidsangivelsen är korrekt (för de som har fast tidsangivelse som vårdtillfällets start eller utskrivnigstiden så kan tiden uteslutas)
</t>
  </si>
  <si>
    <t>19.02</t>
  </si>
  <si>
    <t xml:space="preserve">Kontrollera komplikationen så att det inte finns flera registreringar av samma komplikation eller andra ej förenliga komplikationer:
	-på vårdtillfället enligt riktlinje
	-för samma tidsangivelse enligt riktlinje
</t>
  </si>
  <si>
    <t>19.03</t>
  </si>
  <si>
    <t>Validerar så att SK-000 finns angiven då inga andra Negativa händelser komplikationer finns rapporterade. Får ej kombineras med någon annan kod, med undantag för SK-999 (Utvärderas endast om vårdtillfället är valideringsklart)</t>
  </si>
  <si>
    <t>19.04</t>
  </si>
  <si>
    <t>Om man har rapporterat SK-020 och har inställt att IVB Alltid rapporteras, måste en IVB på minst 48 timmar vara registrerad och denna måste ha infallit minst 24 timmar före komplikationen (Utvärderas endast om vårdtillfället är valideringsklart)</t>
  </si>
  <si>
    <t>19.05</t>
  </si>
  <si>
    <t>Om man har rapporterat SK-050 så förväntas någon av åtgärderna CVK (även bruk av befintlig), Dialyskateter, PA-kateter eller navelkateter finnas registrerad före komplikationens inträffande. Valideringsnivå 'Alltid' krävs för åtgärderna ska vara kvalificerande (Utvärderas endast om vårdtillfället är valideringsklart)</t>
  </si>
  <si>
    <t>19.06</t>
  </si>
  <si>
    <t>Om man har rapporterat SK-060 så förväntas någon av åtgärderna för thoraxdränage (GAA10, TGA35) finnas registrerad. Villkoret är att åtgärderna har valideringsnivå 'Alltid' (Utvärderas endast om vårdtillfället är valideringsklart)</t>
  </si>
  <si>
    <t>19.07</t>
  </si>
  <si>
    <t>Nattlig utskrivning anges om utskrivning mellan 22:00 - 06:59 sker av levande patient. Utskriven till 'Annan IVA' med 'Medicinsk indikation' är inte nattlig utskrivning</t>
  </si>
  <si>
    <t>19.08</t>
  </si>
  <si>
    <t>SK-100, Oplanerad återinläggning på IVA, ska inte anges om inläggningen är planerad eller om ankomstvägen är Annan IVA</t>
  </si>
  <si>
    <t>19.99</t>
  </si>
  <si>
    <t>Validerar att avdelningen har rätt inställningar för komplikationer</t>
  </si>
  <si>
    <t>Typ: VTS5</t>
  </si>
  <si>
    <t>Datum för passet. På formatet ”åååå-mm-dd ”
Enbart då den första VTS:en är ”Natt” så kan den ha ett VtsDatum som ligger dagen före inskrivningsdatum.
Inget VTS-pass får ha ett datum som är senare än utskrivningsdatumet.</t>
  </si>
  <si>
    <t>"Pass"</t>
  </si>
  <si>
    <t>VTS-Pass, morgon, kväll, eller natt</t>
  </si>
  <si>
    <t>"Morgon"</t>
  </si>
  <si>
    <t>Morgon</t>
  </si>
  <si>
    <t>"Kväll"</t>
  </si>
  <si>
    <t>Kväll</t>
  </si>
  <si>
    <t>"Natt"</t>
  </si>
  <si>
    <t>Natt</t>
  </si>
  <si>
    <t>"Indikator1"</t>
  </si>
  <si>
    <t>Indikator 1. Övervakning</t>
  </si>
  <si>
    <t>Värdet ska anges i intervallet 0 → 3</t>
  </si>
  <si>
    <t>"Indikator2"</t>
  </si>
  <si>
    <t>Indikator 2. CNS</t>
  </si>
  <si>
    <t>"Indikator3"</t>
  </si>
  <si>
    <t>Indikator 3. Respiration</t>
  </si>
  <si>
    <t>"Indikator3Ext"</t>
  </si>
  <si>
    <t>Indikator 3x. Extrapoäng Respiration</t>
  </si>
  <si>
    <t>Värdet ska anges i intervallet 0 → 1</t>
  </si>
  <si>
    <t>"Indikator4"</t>
  </si>
  <si>
    <t>Indikator 4. Cirkulation</t>
  </si>
  <si>
    <t>"Indikator5"</t>
  </si>
  <si>
    <t>Indikator 5. Sår, drän, sond och stomi</t>
  </si>
  <si>
    <t>"Indikator5Ext"</t>
  </si>
  <si>
    <t>Indikator 5x. Extrapoäng Sår, drän, sond och stomi</t>
  </si>
  <si>
    <t>"Indikator6"</t>
  </si>
  <si>
    <t>Indikator 6. Njure</t>
  </si>
  <si>
    <t>"Indikator7"</t>
  </si>
  <si>
    <t>Indikator 7. Infusion, transfusion, injektion och enteral tillförsel</t>
  </si>
  <si>
    <t>"Indikator8"</t>
  </si>
  <si>
    <t>Indikator 8. Provtagning</t>
  </si>
  <si>
    <t>"Indikator9"</t>
  </si>
  <si>
    <t>Indikator 9. Hygien och mobilisering</t>
  </si>
  <si>
    <t>"Indikator10"</t>
  </si>
  <si>
    <t>Indikator 10. Speciell behandling och vårdåtgärd</t>
  </si>
  <si>
    <t>"Indikator10Ext"</t>
  </si>
  <si>
    <t>Indikator 10x. Extrapoäng Speciell behandling och vårdåtgärd</t>
  </si>
  <si>
    <t>"Indikator11"</t>
  </si>
  <si>
    <t>Indikator 11. Närstående och externa kontakter</t>
  </si>
  <si>
    <t>20.00</t>
  </si>
  <si>
    <t>Sorterar passlistan</t>
  </si>
  <si>
    <t>20.01</t>
  </si>
  <si>
    <t>Normaliserar VTS-pass (om första passet är natt-passet för en avdelning)</t>
  </si>
  <si>
    <t>20.02</t>
  </si>
  <si>
    <t>Inga pass får ligga före vårdtillfällets start. Ska ge fel om valideringsnivå Alltid används, annars varning.</t>
  </si>
  <si>
    <t>20.03</t>
  </si>
  <si>
    <t>Inga pass får ligga efter vårdtillfällets slut. Ska ge fel om valideringsnivå Alltid används, annars varning.</t>
  </si>
  <si>
    <t>20.04</t>
  </si>
  <si>
    <t>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</si>
  <si>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20.05</t>
  </si>
  <si>
    <t>Flera registreringar med samma datum och passnummer får ej förekomma</t>
  </si>
  <si>
    <t>20.06</t>
  </si>
  <si>
    <t>Extrapoäng får endast ges om indikator har 1 eller 2 poäng. Gäller indikator 3, 5 och 10.</t>
  </si>
  <si>
    <t>Typ: VTS2014</t>
  </si>
  <si>
    <t>Indikator 1. Dokumentation av övervakning</t>
  </si>
  <si>
    <t>Indikator 4. Sår, drän, sond och stomi</t>
  </si>
  <si>
    <t>"Indikator4Ext"</t>
  </si>
  <si>
    <t>Indikator 4x. Extrapoäng Sår, drän, sond och stomi</t>
  </si>
  <si>
    <t>Indikator 5. Njure</t>
  </si>
  <si>
    <t>Indikator 6. Intravenös och enteral tillförsel</t>
  </si>
  <si>
    <t>Indikator 7. Provtagning</t>
  </si>
  <si>
    <t>Indikator 8. Hygien, mobilisering och transport</t>
  </si>
  <si>
    <t>Indikator 9. Speciell behandling och vårdåtgärd</t>
  </si>
  <si>
    <t>"Indikator9Ext"</t>
  </si>
  <si>
    <t>Indikator 9x. Extrapoäng, speciell behandling och vårdåtgärd</t>
  </si>
  <si>
    <t>Indikator 10. Närstående och externa kontakter</t>
  </si>
  <si>
    <t>Indikator 11. Patientrelaterad administration</t>
  </si>
  <si>
    <t>21.00</t>
  </si>
  <si>
    <t>21.01</t>
  </si>
  <si>
    <t>21.02</t>
  </si>
  <si>
    <t>21.03</t>
  </si>
  <si>
    <t>21.04</t>
  </si>
  <si>
    <t>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</si>
  <si>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21.05</t>
  </si>
  <si>
    <t>21.06</t>
  </si>
  <si>
    <t>Extrapoäng får endast ges om indikatorn har 1 eller 2 poäng. Gäller indikator 4 och 9.</t>
  </si>
  <si>
    <t>Typ: NEMS</t>
  </si>
  <si>
    <t>Datum för NEMS-registreringen.</t>
  </si>
  <si>
    <t>"Monitorering"</t>
  </si>
  <si>
    <t>1. Monitorering: Puls, blodtryck, andning etc. varje timme. Regelbunden dokumentation och beräkning av vätskebalans</t>
  </si>
  <si>
    <t>"IntravenösMedicinering"</t>
  </si>
  <si>
    <t>2. Intravenös medicinering: Injektion och/eller infusion. Gäller ej vasoaktiva läkemedel</t>
  </si>
  <si>
    <t>"Andningsvård"</t>
  </si>
  <si>
    <t>3. Andningsvård: Alla former av syrgastillägg, inhalationer,andningsgymnastik. Skall ej registreras om 4 väljes.</t>
  </si>
  <si>
    <t>"Andningsstöd"</t>
  </si>
  <si>
    <t>4. Andningsstöd: Alla former av assisterad/mekanisk ventilation med eller utan CPAP/PEEP.</t>
  </si>
  <si>
    <t>"EnVasoaktivDrog"</t>
  </si>
  <si>
    <t>5. En vasoaktiv drog</t>
  </si>
  <si>
    <t>"MultiplaVasoaktivaLäkemedel"</t>
  </si>
  <si>
    <t>6. Multipla vasoaktiva läkemedel: mer än ett vasoaktivt läkemedel, oavsett typ och dos</t>
  </si>
  <si>
    <t>7. Dialyssteknik: alla</t>
  </si>
  <si>
    <t>"SärskildaÅtgärder"</t>
  </si>
  <si>
    <t>8. Särskilda åtgärder/ ingrepp på IVA utöver rutin: Intubation, pacemaker, elkonverteringdefibrillering,
scopi i någon form, transesofagal
ekokardiografi, ventrikelsköljning, akut op. Inom
sista 24 tim. Gäller ej rutinåtgärder som rtg,
transthorakal ekokardiografi, omläggningar,
artärnål, CVK</t>
  </si>
  <si>
    <t>"ÅtgärdUtanförIVA"</t>
  </si>
  <si>
    <t>9. Åtgärder/ingrepp utanför IVA: Kirurgisk intervention eller diagnostisk procedur
där sjukdomens svårighetsgrad hos patienten
kräver närvaro av IVA:s personal utanför IVA</t>
  </si>
  <si>
    <t>22.01</t>
  </si>
  <si>
    <t>Både Andningsvård och Andningsstöd kan inte besvaras med 'Ja'</t>
  </si>
  <si>
    <t>22.02</t>
  </si>
  <si>
    <t>Både 'En vasoaktiv drog' och '&gt; 1 vasoaktiv drog' kan inte besvaras med 'Ja' samtidigt</t>
  </si>
  <si>
    <t>22.03</t>
  </si>
  <si>
    <t>Validerar så att NEMS-pass finns (Utvärderas endast om vårdtillfället är valideringsklart)</t>
  </si>
  <si>
    <t>22.04</t>
  </si>
  <si>
    <t>22.05</t>
  </si>
  <si>
    <t>22.06</t>
  </si>
  <si>
    <t>Typ: Åtgärd</t>
  </si>
  <si>
    <t>"StartDatumTid"</t>
  </si>
  <si>
    <t>Startdatum eller tid för åtgärden. På formatet ”åååå-mm-dd tt:mm”</t>
  </si>
  <si>
    <t>"SlutDatumTid"</t>
  </si>
  <si>
    <t>Slutdatum eller tid för åtgärden.
På formatet ”åååå-mm-dd tt:mm”. Obligatorisk för de åtgärder som ska anges som period enligt riktlinjen.</t>
  </si>
  <si>
    <t>"Grupp"</t>
  </si>
  <si>
    <t>”A”-”G” eller ”X”.</t>
  </si>
  <si>
    <t>"A"</t>
  </si>
  <si>
    <t>A. Respiratoriska systemet</t>
  </si>
  <si>
    <t>"B"</t>
  </si>
  <si>
    <t>B. Cirkulatoriska systemet</t>
  </si>
  <si>
    <t>"C"</t>
  </si>
  <si>
    <t>C. Gastro-intestinala systemet</t>
  </si>
  <si>
    <t>"D"</t>
  </si>
  <si>
    <t>D. Njurar</t>
  </si>
  <si>
    <t>"E"</t>
  </si>
  <si>
    <t>E. Nervsystemet</t>
  </si>
  <si>
    <t>"F"</t>
  </si>
  <si>
    <t>Grupp F. Farmakologisk behandling</t>
  </si>
  <si>
    <t>"G"</t>
  </si>
  <si>
    <t>G. Övrigt</t>
  </si>
  <si>
    <t>"X"</t>
  </si>
  <si>
    <t>Grupp X. Operationskoder</t>
  </si>
  <si>
    <t>Kod enl KVÅ-kod (inkluderar KKÅ97)
Flatten-koder accepteras tom 2010-12-31</t>
  </si>
  <si>
    <t>23.01</t>
  </si>
  <si>
    <t>Ändrar alla koder till versaler, samt ersätt åtgärdskoder Z978 -&gt; QD004, ZXG05 -&gt; DF028, ZX903 -&gt; ZV048, samt kompletterar åtgärdskoder med valideringsnivå, tidsregler och SIR-grupp</t>
  </si>
  <si>
    <t>23.02</t>
  </si>
  <si>
    <t>Kontrollera att koden hittades bland giltiga KVÅ-koder</t>
  </si>
  <si>
    <t>23.03</t>
  </si>
  <si>
    <t>Kontrollera att koden är en giltig KVÅ-kod och att den är aktiv vid tiden för insättning</t>
  </si>
  <si>
    <t>23.04</t>
  </si>
  <si>
    <t>Validerar koder som bara får förekomma en gång under vårddygnet</t>
  </si>
  <si>
    <t>23.05</t>
  </si>
  <si>
    <t>Kontrollera så att startdatum för åtgärder är korrekta. Startdatum får inte ligga före vårdtillfällets start eller efter utskrivningstiden.
Undantaget är de speciella EN-PER-DYGN om de angivits som punktåtgärd utan angiven tidpunkt. Då kan det vara samma dygn som vårdtillfällets start.</t>
  </si>
  <si>
    <t>23.06</t>
  </si>
  <si>
    <t>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(Om sluttid saknas så ges endast fel om vårdtillfället är valideringsklart)</t>
  </si>
  <si>
    <t>23.07</t>
  </si>
  <si>
    <t>Om valideringsnivå är Aldrig så ska åtgärden inte rapporteras (om det inte är en operationskod)</t>
  </si>
  <si>
    <t>23.08</t>
  </si>
  <si>
    <t>Validerar åtgärdskoder som får inte förekomma samtidigt eller överlappar varandra tidsmässigt</t>
  </si>
  <si>
    <t>23.09</t>
  </si>
  <si>
    <t>Validera att åtgärden har rätt åtgärdsgrupp (om grupp 'A' -&gt; 'G' är angiven)</t>
  </si>
  <si>
    <t>Typ: DiagnosKod</t>
  </si>
  <si>
    <t>"PrimärDiagnos"</t>
  </si>
  <si>
    <t>Är detta den Huvudsakliga IVA-diagnosen (får endast förekomma på en kod per vårdtillfälle)</t>
  </si>
  <si>
    <t>"ICD10Kod"</t>
  </si>
  <si>
    <t>Kod enl ICD10-SE. Ange kod utan punkt, Exempel : 'J80.9C' anges som 'J809C'</t>
  </si>
  <si>
    <t>24.01</t>
  </si>
  <si>
    <t>Ändrar alla koder till versaler, tar bort eventuell punkt, samt ersätter B95.6A -&gt; B95.6, G35.0 -&gt; G35.9, T74.9A -&gt; T74.9, J09 -&gt; J09.9, ersätter Z86.1A med U08.9 för vårdtillfällen med start &gt;= 2021-01-01</t>
  </si>
  <si>
    <t>24.02</t>
  </si>
  <si>
    <t>En av SIR diagnoserna ska vara huvudsaklig IVA-diagnos utvald från SIR:s fastslagna lista. (Gäller vårdtillfällen före 2018.)
Från och med 2018 ska en av IVA diagnoserna vara huvudsaklig enligt ICD:s regelverk. Under 2018 godkänns även huvudsakliga IVA-diagnoser från SIR:s lista. (Utvärderas endast om vårdtillfället är valideringsklart)</t>
  </si>
  <si>
    <t>24.03</t>
  </si>
  <si>
    <t>Diagnoserna U07.1, U07.2, U08.9 och Z86.1A ska inte förekomma samtidigt på samma vårdtillfälle</t>
  </si>
  <si>
    <t>24.04</t>
  </si>
  <si>
    <t>Diagnosen U09.9 får inte kombineras med diagnoserna U07.1, U07.2 eller U10.9 på samma vårdtillfälle</t>
  </si>
  <si>
    <t>Typ: Sederingsmål</t>
  </si>
  <si>
    <t>Datum. På formatet ”åååå-mm-dd ”</t>
  </si>
  <si>
    <t>”Morgon”, ”Kväll” eller ”Natt”.</t>
  </si>
  <si>
    <t>"HarInvasivVentilatorbehandling"</t>
  </si>
  <si>
    <t>Har patienten invasiv ventilatorbehandling?
Om inte invasiv ventilatorbehandling, avsluta protokollet här.</t>
  </si>
  <si>
    <t>"AnvändsSederingsskala"</t>
  </si>
  <si>
    <t>Registreras sederingsgrad med sederingsskala?</t>
  </si>
  <si>
    <t>"DokumenteratSederingsmål"</t>
  </si>
  <si>
    <t>Finns det ett dokumenterat sederingsmål?
Om inte dokumenterat sederingsmål så avsluta här</t>
  </si>
  <si>
    <t>"MotsvararMålet"</t>
  </si>
  <si>
    <t>Motsvarar patientens sederingsgrad sederingsmålet?</t>
  </si>
  <si>
    <t>"EjTillämpbart"</t>
  </si>
  <si>
    <t>Ej tillämpbart</t>
  </si>
  <si>
    <t>25.01</t>
  </si>
  <si>
    <t>Om 'InvasivVent' har besvaras med 'Nej', så ska inget ytterligare anges för sederingsmål. 'Sederingsskala' och 'Dokumenterat' måste besvaras när 'InvasivVent' besvaras med 'Ja'.</t>
  </si>
  <si>
    <t>25.02</t>
  </si>
  <si>
    <t>Om 'Dokumenterat' besvarats med 'Nej', så ska inget ytterligare anges för sederingsmål.</t>
  </si>
  <si>
    <t>25.03</t>
  </si>
  <si>
    <t>Angivet datum kan inte ligga före vårdtillfällets start eller efter utskrivningstid</t>
  </si>
  <si>
    <t>25.04</t>
  </si>
  <si>
    <t>'Sederingsmål' ska inte registreras på IMA</t>
  </si>
  <si>
    <t>Typ: OmvårdnadSmärta</t>
  </si>
  <si>
    <t>"ÄrSkattningGjord"</t>
  </si>
  <si>
    <t>Är skattning gjord?</t>
  </si>
  <si>
    <t>"Tidpunkt"</t>
  </si>
  <si>
    <t>Tidpunkt då bedömningen gjordes (Obligatoriskt om bedömning utförts)</t>
  </si>
  <si>
    <t>"NRS"</t>
  </si>
  <si>
    <t>Smärtbedömning enligt NRS (Numeric Pain Rating Scale)</t>
  </si>
  <si>
    <t>No pain</t>
  </si>
  <si>
    <t>Hardly notice pain</t>
  </si>
  <si>
    <t>Notice pain</t>
  </si>
  <si>
    <t>Sometimes distracts patient</t>
  </si>
  <si>
    <t>Distracting</t>
  </si>
  <si>
    <t>Interrupting</t>
  </si>
  <si>
    <t>Hard to ignore</t>
  </si>
  <si>
    <t>Preventing</t>
  </si>
  <si>
    <t>Awful</t>
  </si>
  <si>
    <t>Unbearable</t>
  </si>
  <si>
    <t>"10"</t>
  </si>
  <si>
    <t>Worst possible</t>
  </si>
  <si>
    <t>"BPS"</t>
  </si>
  <si>
    <t>Smärtbedömning enligt BPS (Behavioral Pain Scale)</t>
  </si>
  <si>
    <t>"CPOT"</t>
  </si>
  <si>
    <t>Smärtbedömning enligt CPOT (Critical-Care Pain Observation Tool)</t>
  </si>
  <si>
    <t>Datum  (Obligatoriskt om ingen skattning gjordes)</t>
  </si>
  <si>
    <t>Vårdpass (Obligatoriskt om ingen skattning gjordes)</t>
  </si>
  <si>
    <t>"BedömningSaknasAnledning"</t>
  </si>
  <si>
    <t>Anledning till att smärtskattning ej är utförd</t>
  </si>
  <si>
    <t>"Medvetandesänkt"</t>
  </si>
  <si>
    <t>Bedömning kan ej göras på grund av sänkt medvetandegrad (GCS &lt;10, RLS-85 &gt;4)</t>
  </si>
  <si>
    <t>"EjNärvarande"</t>
  </si>
  <si>
    <t>Patienten ej närvarande ≥4 timmar av passet</t>
  </si>
  <si>
    <t>Patient avliden</t>
  </si>
  <si>
    <t>Annan orsak (Missing data)</t>
  </si>
  <si>
    <t>"Omvårdnadsåtgärder"</t>
  </si>
  <si>
    <t>Ett eller flera av nedanstående konstanter
Värdet 'Inga' får endast existera ensamt, och ej i kombination med något annat värde.</t>
  </si>
  <si>
    <t>Om smärta påvisats NRS&gt;= 3 eller CPOT &gt; 2 eller BPS &gt; 5, vilka åtgärder har vidtagits</t>
  </si>
  <si>
    <t>Ingen åtgärd</t>
  </si>
  <si>
    <t>"Massage"</t>
  </si>
  <si>
    <t>Massage</t>
  </si>
  <si>
    <t>"Musik"</t>
  </si>
  <si>
    <t>Musik</t>
  </si>
  <si>
    <t>"Avslappning"</t>
  </si>
  <si>
    <t>Avslappningsteknik</t>
  </si>
  <si>
    <t>"Läge"</t>
  </si>
  <si>
    <t>Lägesändring</t>
  </si>
  <si>
    <t>"Värme"</t>
  </si>
  <si>
    <t>Värmebehandling</t>
  </si>
  <si>
    <t>"TENS"</t>
  </si>
  <si>
    <t>Transkutan elektrisk nervstimulering (TENS)</t>
  </si>
  <si>
    <t>Annan omvårdnadsåtgärd (Inget av ovanstående)</t>
  </si>
  <si>
    <t>"Läkemedelsåtgärder"</t>
  </si>
  <si>
    <t>Om smärta påvisats NRS&gt;= 3 eller CPOT &gt; 2 eller BPS &gt; 5, vilka läkemedel har administrerats</t>
  </si>
  <si>
    <t>"Ökning"</t>
  </si>
  <si>
    <t>Ökning av kontinuerliga analgetika</t>
  </si>
  <si>
    <t>"Bolus"</t>
  </si>
  <si>
    <t>Bolus av kontinuerlig tillförsel av analgetika</t>
  </si>
  <si>
    <t>"Dos"</t>
  </si>
  <si>
    <t>Dos av analgetika som ej ges kontinuerligt</t>
  </si>
  <si>
    <t>Annan läkemedelsåtgärd (Inget av ovanstående)</t>
  </si>
  <si>
    <t>"Uppföljning"</t>
  </si>
  <si>
    <t>Uppföljning efter åtgärder (Uppföljning (inom 1 timme från åtgärd, tidpunkt)</t>
  </si>
  <si>
    <t>27.01</t>
  </si>
  <si>
    <t>Omvårdnadsvariabel smärta ska bara rapporteras för vårdtillfällen med vårdtyp IVA eller TIVA</t>
  </si>
  <si>
    <t>27.03</t>
  </si>
  <si>
    <t>Omvårdnadsvariabel smärta: Datum och/eller Pass ska inte anges då skattning gjorts.</t>
  </si>
  <si>
    <t>27.04</t>
  </si>
  <si>
    <t>Omvårdnadsvariabel smärta: Tidpunkt då skattning gjorts måste anges.</t>
  </si>
  <si>
    <t>27.05</t>
  </si>
  <si>
    <t>Omvårdnadsvariabel smärta: Tidpunkt måste ligga inom vårdtillfället och före ev avlidentid</t>
  </si>
  <si>
    <t>27.06</t>
  </si>
  <si>
    <t>Omvårdnadsvariabel smärta: Skattning med NRS, CPOT eller BPS måste anges.</t>
  </si>
  <si>
    <t>27.07</t>
  </si>
  <si>
    <t>Omvårdnadsvariabel smärta: BedömningSaknasAnledning ska inte anges då skattning är gjord.</t>
  </si>
  <si>
    <t>27.08</t>
  </si>
  <si>
    <t>Omvårdnadsåtgärder ska besvaras då smärta påvisats.</t>
  </si>
  <si>
    <t>27.09</t>
  </si>
  <si>
    <t>Läkemedelsåtgärder ska besvaras då smärta påvisats.</t>
  </si>
  <si>
    <t>27.10</t>
  </si>
  <si>
    <t>Omvårdnadsvariabel smärta: Datum och Pass måste anges då ingen skattning gjorts</t>
  </si>
  <si>
    <t>27.11</t>
  </si>
  <si>
    <t>Omvårdnadsvariabel smärta: BedömningSaknasAnledning måste anges då ingen skattning gjorts.</t>
  </si>
  <si>
    <t>27.12</t>
  </si>
  <si>
    <t>Omvårdnadsvariabel smärta: Orsaken till att smärtskattning ej gjordes kan ej vara Avliden då vårdresultatet är Levande.</t>
  </si>
  <si>
    <t>27.13</t>
  </si>
  <si>
    <t>Omvårdnadsvariabel smärta: Tidpunkt ska inte anges då ingen skattning är gjord.</t>
  </si>
  <si>
    <t>27.14</t>
  </si>
  <si>
    <t>Omvårdnadsvariabel smärta: Bedömning ska ej anges (NRS, CPOT eller BPS) då ingen skattning gjorts.</t>
  </si>
  <si>
    <t>27.15</t>
  </si>
  <si>
    <t>Omvårdnadsvariabel smärta: Angivet Datum och Pass måste ligga inom vårdtillfället.</t>
  </si>
  <si>
    <t>27.16</t>
  </si>
  <si>
    <t>Omvårdnadsvariabel smärta: Orsak till ej gjord skattning kan inte vara Avliden då patienten var levande det innevarande passet.</t>
  </si>
  <si>
    <t>27.17</t>
  </si>
  <si>
    <t>Omvårdnadsvariabel smärta: Omvårdnadsåtgärder ska inte besvaras då ingen skattning gjorts..</t>
  </si>
  <si>
    <t>27.18</t>
  </si>
  <si>
    <t>Omvårdnadsvariabel smärta: Läkemedelsåtgärder ska inte besvaras då ingen skattning gjorts.</t>
  </si>
  <si>
    <t>27.19</t>
  </si>
  <si>
    <t>Omvårdnadsvariabel smärta: Uppföljning av smärta ska inte göras då ingen skattning har gjorts.</t>
  </si>
  <si>
    <t>27.20</t>
  </si>
  <si>
    <t>Omvårdnadsvariabel smärta: Uppföljning av smärta ska göras då smärta påvisats.</t>
  </si>
  <si>
    <t>27.21</t>
  </si>
  <si>
    <t>Omvårdnadsvariabel smärta: kontroll så att det inte finns dubbelrapporterade pass</t>
  </si>
  <si>
    <t>27.22</t>
  </si>
  <si>
    <t>Omvårdnadsvariabel smärta: kontroll så att alla pass finns registrerade</t>
  </si>
  <si>
    <t>27.23</t>
  </si>
  <si>
    <t>Omvårdnadsvariabel smärta, CPOT ska besvaras med antingen Ventilator eller Talförmåga, ej båda.</t>
  </si>
  <si>
    <t>27.24</t>
  </si>
  <si>
    <t>Omvårdnadsvariabel smärta: BPS ska besvaras med antingen Andningsmönster eller Röstuttryck, ej båda</t>
  </si>
  <si>
    <t>27.25</t>
  </si>
  <si>
    <t>Omvårdnadsvariabel smärta: ett och endast ett instrument NRS, CPOT eller BPS ska anges</t>
  </si>
  <si>
    <t>27.26</t>
  </si>
  <si>
    <t>Omvårdnadsvariabel smärta: orsaken till att uppföljning av smärta ej gjordes kan ej vara Avliden då vårdresultatet är Levande</t>
  </si>
  <si>
    <t>27.27</t>
  </si>
  <si>
    <t>Omvårdnadsvariabel smärta: Omvårdnadsåtgärder , värdet 'Inga' får endast existera ensamt, och ej i kombination med något annat värde.</t>
  </si>
  <si>
    <t>27.28</t>
  </si>
  <si>
    <t>Omvårdnadsvariabel smärta: Läkemedelsåtgärder, värdet 'Inga' får endast existera ensamt, och ej i kombination med något annat värde.</t>
  </si>
  <si>
    <t>Typ: OmvårdnadSedering</t>
  </si>
  <si>
    <t>"FinnsOrdineradSederingsgrad"</t>
  </si>
  <si>
    <t>Finns ordinerad sederingsgrad?</t>
  </si>
  <si>
    <t>"OrdineradRASS"</t>
  </si>
  <si>
    <t>Ordinerad sederingsgrad enligt RASS (Richmond Agitation Sedation Scale)</t>
  </si>
  <si>
    <t>Alert and calm</t>
  </si>
  <si>
    <t>Anxious but movements not aggressive vigorous</t>
  </si>
  <si>
    <t>Frequent non-purposeful movement, fights ventilator</t>
  </si>
  <si>
    <t>Pulls or removes tube(s) or catheter(s), aggressive</t>
  </si>
  <si>
    <t>Overtly combative, violent, immediate danger to staff</t>
  </si>
  <si>
    <t>"-5"</t>
  </si>
  <si>
    <t>No response to voice or physical stimulation</t>
  </si>
  <si>
    <t>"-4"</t>
  </si>
  <si>
    <t>No response to voice, but movement or eye opening to physical stimulation</t>
  </si>
  <si>
    <t>"-3"</t>
  </si>
  <si>
    <t>Movement or eye opening to voice (but no eye contact)</t>
  </si>
  <si>
    <t>"-2"</t>
  </si>
  <si>
    <t>Briefly awakens with eye contact to voice (&lt;10 seconds)</t>
  </si>
  <si>
    <t>"-1"</t>
  </si>
  <si>
    <t>Not fully alert, but has sustained awakening (eye-opening/eye contact) to voice (&gt;10 seconds)</t>
  </si>
  <si>
    <t>"OrdineradMAAS"</t>
  </si>
  <si>
    <t>Ordinerad sederingsgrad enligt MAAS (The Motor Activity Assessment Scale)</t>
  </si>
  <si>
    <t>Does not move with noxious stimuli</t>
  </si>
  <si>
    <t>Open eyes, raises eyebrows or turns head toward stimulus; moves limbs with noxious stimulus</t>
  </si>
  <si>
    <t>Open eyes, raises eyebrows or turns head toward stimulus when touched or name is loudly spoken</t>
  </si>
  <si>
    <t>No external stimulus in required to elicit movement; adjusts sheets or clothes purposefully, follows commands</t>
  </si>
  <si>
    <t>No external stimulus in required to elicit movement; picks at sheets or tubes, uncovers self, follows commands</t>
  </si>
  <si>
    <t>No external stimulus in required to elicit movement, attempts to sit up or moves limbs out of bed, does not consistently follow commands (for example, will lie down when asked to but soon reverts back to attempts to sit up or move limbs out of bed)</t>
  </si>
  <si>
    <t>No external stimulus in required to elicit movement; pulls at tubes or catheters, thrashes side to side, strikes at staff, tries to climb out of bed, does not calm down when asked.</t>
  </si>
  <si>
    <t>"RASS"</t>
  </si>
  <si>
    <t>Bedömning enligt RASS (Richmond Agitation Sedation Scale)</t>
  </si>
  <si>
    <t>"MAAS"</t>
  </si>
  <si>
    <t>Bedömning enligt MAAS (The Motor Activity Assessment Scale)</t>
  </si>
  <si>
    <t>Anledning till att bedömning saknas</t>
  </si>
  <si>
    <t>"UppfyllsOrdineradSederingsGrad"</t>
  </si>
  <si>
    <t>Uppfylls ordinerad sederingsgrad?
Ska anges då det finns ordinerad sederingsgrad</t>
  </si>
  <si>
    <t>"ÅtgärdEjUppfylldSederingsgrad"</t>
  </si>
  <si>
    <t>Vilka åtgärder har vidtagits om en ordinerad sederingsgrad finns, men sederingsgraden ej är uppfylld,</t>
  </si>
  <si>
    <t>Ingen åtgärd alla sederande läkemedel är utsatta</t>
  </si>
  <si>
    <t>Ökning av kontinuerlig tillförsel av sederande läkemedel</t>
  </si>
  <si>
    <t>"Minskning"</t>
  </si>
  <si>
    <t>Minskning av kontinuerlig tillförsel av sederande läkemedel</t>
  </si>
  <si>
    <t>Bolus av kontinuerlig tillförsel av sederande läkemedel</t>
  </si>
  <si>
    <t>"Byte"</t>
  </si>
  <si>
    <t>Byte av kontinuerlig tillförsel av sederande läkemedel</t>
  </si>
  <si>
    <t>Dos av annat sederande läkemedel som EJ ges kontinuerligt</t>
  </si>
  <si>
    <t>"Avstängning"</t>
  </si>
  <si>
    <t>Avstängning av sederande läkemedel</t>
  </si>
  <si>
    <t>27.02</t>
  </si>
  <si>
    <t>Omvårdnadsvariabel smärta ska inte rapporteras för vårdtillfällen där patienten är yngre än 16</t>
  </si>
  <si>
    <t>28.01</t>
  </si>
  <si>
    <t>Omvårdnadsvariabel sedering ska bara rapporteras för vårdtillfällen med vårdtyp IVA eller TIVA</t>
  </si>
  <si>
    <t>28.02</t>
  </si>
  <si>
    <t>Omvårdnadsvariabel sedering ska inte rapporteras för vårdtillfällen där patienten är yngre än 16</t>
  </si>
  <si>
    <t>28.04</t>
  </si>
  <si>
    <t>Omvårdnadsvariabel sedering, ordinerad skattning ska anges. Antingen som RASS eller MAAS, ej båda</t>
  </si>
  <si>
    <t>28.05</t>
  </si>
  <si>
    <t>Omvårdnadsvariabel sedering: Ordinerad sederingsgrad, RASS och/eller MAAS ska ej anges då ’Finns ordinerad sederingsgrad’ besvarats med nej.</t>
  </si>
  <si>
    <t>28.07</t>
  </si>
  <si>
    <t>Omvårdnadsvariabel sedering: Tidpunkt då skattning gjorts måste anges.</t>
  </si>
  <si>
    <t>28.08</t>
  </si>
  <si>
    <t>Omvårdnadsvariabel sedering: Tidpunkt måste ligga inom vårdtillfället och före ev avlidentid</t>
  </si>
  <si>
    <t>28.09</t>
  </si>
  <si>
    <t>Omvårdnadsvariabel sedering: Skattning med RASS eller MASS måste anges.</t>
  </si>
  <si>
    <t>28.10</t>
  </si>
  <si>
    <t>Omvårdnadsvariabel sedering: Datum och/eller pass ska inte anges då skattning är gjord.</t>
  </si>
  <si>
    <t>28.11</t>
  </si>
  <si>
    <t>Omvårdnadsvariabel sedering: BedömningSaknasAnledning ska inte anges då skattning är gjord.</t>
  </si>
  <si>
    <t>28.12</t>
  </si>
  <si>
    <t>Omvårdnadsvariabel sedering: Datum och Pass måste anges då ingen skattning gjorts</t>
  </si>
  <si>
    <t>28.13</t>
  </si>
  <si>
    <t>Omvårdnadsvariabel sedering: BedömningSaknasAnledning måste anges då ingen skattning gjorts.</t>
  </si>
  <si>
    <t>28.14</t>
  </si>
  <si>
    <t>Omvårdnadsvariabel sedering: Orsaken till att sederingsskattning ej gjordes kan ej vara Avliden då vårdresultatet är Levande.</t>
  </si>
  <si>
    <t>28.15</t>
  </si>
  <si>
    <t>Omvårdnadsvariabel sedering: Tidpunkt ska inte anges då ingen skattning är gjord.</t>
  </si>
  <si>
    <t>28.16</t>
  </si>
  <si>
    <t>Omvårdnadsvariabel sedering: Bedömning ska ej anges (RASS eller MAAS) då ingen skattning gjorts</t>
  </si>
  <si>
    <t>28.17</t>
  </si>
  <si>
    <t>Omvårdnadsvariabel sedering: Angivet Datum och Pass måste ligga inom vårdtillfället</t>
  </si>
  <si>
    <t>28.18</t>
  </si>
  <si>
    <t>Omvårdnadsvariabel sedering: Orsak till ej gjord skattning kan inte vara Avliden då patienten var levande det innevarande passet.</t>
  </si>
  <si>
    <t>28.19</t>
  </si>
  <si>
    <t>Omvårdnadsvariabel sedering: Uppfylls ordinerad sederingsgrad ska besvaras då både ordinerad sederingsgrad och skattning finns.</t>
  </si>
  <si>
    <t>28.20</t>
  </si>
  <si>
    <t>Omvårdnadsvariabel sedering: Uppfylls ordinerad sederingsgrad ska inte besvaras då inte både ordinerad sederingsgrad och skattning finns.</t>
  </si>
  <si>
    <t>28.21</t>
  </si>
  <si>
    <t>Omvårdnadsvariabel sedering: ordinerad sederingsgrad och skattad sederingsgrad måste vara gjort med samma instrument.</t>
  </si>
  <si>
    <t>28.22</t>
  </si>
  <si>
    <t>Omvårdnadsvariabel sedering: Uppfylls ordinerad sederingsgrad kan inte besvaras med Ja om ordinerad sederingsgrad inte är den samma som skattningen.</t>
  </si>
  <si>
    <t>28.23</t>
  </si>
  <si>
    <t>Omvårdnadsvariabel sedering: Åtgärder ska inte anges då ordinerad sederingsgrad är uppfylld.</t>
  </si>
  <si>
    <t>28.24</t>
  </si>
  <si>
    <t>Omvårdnadsvariabel sedering: Då ordinerad och skattad sederingsgrad är lika så ska frågan Uppfylls ordinerad sederingsgrad besvaras med Ja.</t>
  </si>
  <si>
    <t>28.25</t>
  </si>
  <si>
    <t>Omvårdnadsvariabel sedering: Då Ordinerad sederingsgrad ej uppnåtts så ska åtgärder anges.</t>
  </si>
  <si>
    <t>28.26</t>
  </si>
  <si>
    <t>Omvårdnadsvariabel sedering: kontroll så att det inte finns dubbelrapporterade pass</t>
  </si>
  <si>
    <t>28.27</t>
  </si>
  <si>
    <t>Omvårdnadsvariabel sedering: kontroll så att alla pass finns registrerade</t>
  </si>
  <si>
    <t>28.28</t>
  </si>
  <si>
    <t>Omvårdnadsvariabel sedering: Då patienten är avliden så kan skattning inte göras.</t>
  </si>
  <si>
    <t>28.29</t>
  </si>
  <si>
    <t>Omvårdnadsvariabel sedering: ÅtgärdEjUppfylldSederingsgrad, värdet 'Ingen' får endast existera ensamt, och ej i kombination med något annat värde.</t>
  </si>
  <si>
    <t>29.01</t>
  </si>
  <si>
    <t>Omvårdnadsvariabel delirium ska bara rapporteras för vårdtillfällen med vårdtyp IVA eller TIVA</t>
  </si>
  <si>
    <t>29.02</t>
  </si>
  <si>
    <t>Omvårdnadsvariabel delirium ska inte rapporteras för vårdtillfällen där patienten är yngre än 16</t>
  </si>
  <si>
    <t>Typ: OmvårdnadDelirium</t>
  </si>
  <si>
    <t>"CAM_ICU_Positiv"</t>
  </si>
  <si>
    <t>Confusion Assessment Method for the ICU (CAM-ICU) (positiv eller negativ, ska ej anges om bedömning saknas)</t>
  </si>
  <si>
    <t>"NuDesc"</t>
  </si>
  <si>
    <t>The Nursing Delirium Screening Scale (NuDesc 0-10) – Omfattande ett pass  (ska ej anges om bedömning saknas)</t>
  </si>
  <si>
    <t>Anledning till att bedömning saknas (Skall anges då CAM_ICU eller NuDesc saknas)</t>
  </si>
  <si>
    <t>"DjuptSederad"</t>
  </si>
  <si>
    <t>Bedömning kan ej göras på grund av djupt sederingen (MAAS &lt;2, RASS &lt; -3)</t>
  </si>
  <si>
    <t>Annan orsak (Mssing data)</t>
  </si>
  <si>
    <t>Läkemedelstgärder, ska anges vid konstaterad delirium NuDesc &gt; 2 = delirium eller CAM-ICU positiv</t>
  </si>
  <si>
    <t>Inga läkemedelsåtgärder utfördes</t>
  </si>
  <si>
    <t>"Justering"</t>
  </si>
  <si>
    <t>Ökning/minskning av kontinuerlig tillförsel av sederande/analgetika</t>
  </si>
  <si>
    <t>Bolus av kontinuerlig tillförsel av sederande/analgetika</t>
  </si>
  <si>
    <t>Byte av sederande/analgetika</t>
  </si>
  <si>
    <t>"Engångsdos"</t>
  </si>
  <si>
    <t>Engångsdos av annat läkemedel: neuroleptikum, bensodiazepin eller annat läkemedel</t>
  </si>
  <si>
    <t>Omvårdnadsåtgärder, ska anges vid konstaterad delirium NuDesc &gt; 2 = delirium eller CAM-ICU positiv</t>
  </si>
  <si>
    <t>Inga omvårdnadsåtgärder utfördes</t>
  </si>
  <si>
    <t>"SensoriskaHjälpmedel"</t>
  </si>
  <si>
    <t>Glasögon, hörapparat</t>
  </si>
  <si>
    <t>"Tillhörigheter"</t>
  </si>
  <si>
    <t>Personliga tillhörigheter</t>
  </si>
  <si>
    <t>"Personalkontinuitet"</t>
  </si>
  <si>
    <t>Personalkontinuitet</t>
  </si>
  <si>
    <t>"Familj"</t>
  </si>
  <si>
    <t>Familjen delaktig</t>
  </si>
  <si>
    <t>"Kommunikation"</t>
  </si>
  <si>
    <t>Kommunikation</t>
  </si>
  <si>
    <t>"ReduceraLjud"</t>
  </si>
  <si>
    <t>Reducera ljud, öronproppar</t>
  </si>
  <si>
    <t>"Sömn"</t>
  </si>
  <si>
    <t>Sömn</t>
  </si>
  <si>
    <t>"Mobilisering"</t>
  </si>
  <si>
    <t>Tidig mobilisering</t>
  </si>
  <si>
    <t>"Utvärdering"</t>
  </si>
  <si>
    <t>Utvärdering behov av medicinteknisk övervakning och slangar</t>
  </si>
  <si>
    <t>29.03</t>
  </si>
  <si>
    <t>Omvårdnadsvariabel delirium: Datum och/eller Pass ska inte anges då skattning gjorts.</t>
  </si>
  <si>
    <t>29.04</t>
  </si>
  <si>
    <t>Omvårdnadsvariabel delirium: Tidpunkt måste ligga inom vårdtillfället och före ev avlidentid</t>
  </si>
  <si>
    <t>29.05</t>
  </si>
  <si>
    <t>Omvårdnadsvariabel delirium: Skattning med CAM-ICU eller NuDesc måste anges.</t>
  </si>
  <si>
    <t>29.06</t>
  </si>
  <si>
    <t>Omvårdnadsvariabel delirium: Tidpunkt för skattning med CAM-ICU måste anges.</t>
  </si>
  <si>
    <t>29.08</t>
  </si>
  <si>
    <t>Omvårdnadsvariabel delirium: BedömningSaknasAnledning ska inte anges då skattning är gjord.</t>
  </si>
  <si>
    <t>29.09</t>
  </si>
  <si>
    <t>Omvårdnadsåtgärder ska besvaras då delirium påvisats.</t>
  </si>
  <si>
    <t>29.10</t>
  </si>
  <si>
    <t>Läkemedelsåtgärder ska besvaras då delirium påvisats.</t>
  </si>
  <si>
    <t>29.11</t>
  </si>
  <si>
    <t>Omvårdnadsvariabel delirium: Då patienten är avliden så kan skattning inte göras.</t>
  </si>
  <si>
    <t>29.12</t>
  </si>
  <si>
    <t>Omvårdnadsvariabel delirium: Datum och Pass måste anges då ingen skattning gjorts</t>
  </si>
  <si>
    <t>29.13</t>
  </si>
  <si>
    <t>Omvårdnadsvariabel delirium: BedömningSaknasAnledning måste anges då ingen skattning gjorts.</t>
  </si>
  <si>
    <t>29.14</t>
  </si>
  <si>
    <t>Omvårdnadsvariabel delirium: Orsaken till att delirumskattning ej gjordes kan ej vara Avliden då vårdresultatet är Levande.</t>
  </si>
  <si>
    <t>29.15</t>
  </si>
  <si>
    <t>Omvårdnadsvariabel delirium: Tidpunkt ska inte anges då ingen skattning är gjord.</t>
  </si>
  <si>
    <t>29.16</t>
  </si>
  <si>
    <t>Omvårdnadsvariabel delirium: Bedömning ska ej anges (NuDesc eller CAM-ICU) då ingen skattning gjorts.</t>
  </si>
  <si>
    <t>29.17</t>
  </si>
  <si>
    <t>Omvårdnadsvariabel delirium: Angivet Datum och Pass måste ligga inom vårdtillfället</t>
  </si>
  <si>
    <t>29.18</t>
  </si>
  <si>
    <t>Omvårdnadsvariabel delirium: Orsak till ej gjord skattning kan inte vara Avliden då patienten var levande det innevarande passet.</t>
  </si>
  <si>
    <t>29.19</t>
  </si>
  <si>
    <t>Omvårdnadsvariabel delirium: Omvårdnadsåtgärder ska inte besvaras då ingen skattning gjorts.</t>
  </si>
  <si>
    <t>29.20</t>
  </si>
  <si>
    <t>Omvårdnadsvariabel delirium: Läkemedelsåtgärder ska inte besvaras då ingen skattning gjorts.</t>
  </si>
  <si>
    <t>29.21</t>
  </si>
  <si>
    <t>Omvårdnadsvariabel delirium, kontroll så att det inte finns dubbelrapporterade pass och att alla pass finns med.</t>
  </si>
  <si>
    <t>29.22</t>
  </si>
  <si>
    <t>Omvårdnadsvariabel delirium: Omvårdnadsåtgärder, värdet 'Inga' får endast existera ensamt, och ej i kombination med något annat värde.</t>
  </si>
  <si>
    <t>29.23</t>
  </si>
  <si>
    <t>Typ: Intagningsorsaker</t>
  </si>
  <si>
    <t>"EndastObservation"</t>
  </si>
  <si>
    <t>Är patienten intagen enbart för observation
”Ja” eller ”Nej”.  Om Ja så ska ingen av de 10 intagningsorsakerna nedan anges.</t>
  </si>
  <si>
    <t>"Neurologisk"</t>
  </si>
  <si>
    <t>Neurologisk intagningsorsak</t>
  </si>
  <si>
    <t>Ingen neurologisk orsak</t>
  </si>
  <si>
    <t>Annan neurologisk orsak</t>
  </si>
  <si>
    <t>"IntrakraniellVolymseffekt"</t>
  </si>
  <si>
    <t>Intrakraniell volymseffekt</t>
  </si>
  <si>
    <t>"FokaltBortfall"</t>
  </si>
  <si>
    <t>Fokalt neurologiskt bortfall</t>
  </si>
  <si>
    <t>"Medvetandestörning"</t>
  </si>
  <si>
    <t>Medvetandestörning (från koma till delirium)</t>
  </si>
  <si>
    <t>"Kramper"</t>
  </si>
  <si>
    <t>Kramper</t>
  </si>
  <si>
    <t>"Kardiovaskulär"</t>
  </si>
  <si>
    <t>Kardiovaskulär intagningsorsak</t>
  </si>
  <si>
    <t>Ingen kardiovaskulär orsak</t>
  </si>
  <si>
    <t>Annan kardiovaskulär orsak</t>
  </si>
  <si>
    <t>"SeptiskChock"</t>
  </si>
  <si>
    <t>Septisk chock</t>
  </si>
  <si>
    <t>"AnafylaktiskChockBlandad"</t>
  </si>
  <si>
    <t>Anafylaktisk chock, blandad och odefinierad chock
Kommentar : Kommer från SIR's äldre riktlinje, är nu uppdelad i 'Anafalytisk chock' och 'Blandad eller odefinierad chock'</t>
  </si>
  <si>
    <t>"HypovolemBlödning"</t>
  </si>
  <si>
    <t>Hypovolem blödnings/icke blödnings chock</t>
  </si>
  <si>
    <t>"Arytmi"</t>
  </si>
  <si>
    <t>Arytmi</t>
  </si>
  <si>
    <t>"Hjärtstopp"</t>
  </si>
  <si>
    <t>Hjärtstopp</t>
  </si>
  <si>
    <t>"HypovolemIckeHemorragiskChock"</t>
  </si>
  <si>
    <t>Hypovolem, icke-hemorragisk chock</t>
  </si>
  <si>
    <t>"HypovolemHemorragiskChock"</t>
  </si>
  <si>
    <t>Hypovolem, hemorragisk chock</t>
  </si>
  <si>
    <t>"KardiogenChock"</t>
  </si>
  <si>
    <t>Kardiogen chock</t>
  </si>
  <si>
    <t>"AnafylaktiskChock"</t>
  </si>
  <si>
    <t>Anafylaktisk chock</t>
  </si>
  <si>
    <t>"BlandadAltOdefinieradChock"</t>
  </si>
  <si>
    <t>Blandad eller odefinierad chock</t>
  </si>
  <si>
    <t>"Bröstsmärta"</t>
  </si>
  <si>
    <t>Bröstsmärta</t>
  </si>
  <si>
    <t>"HypertensivKris"</t>
  </si>
  <si>
    <t>Hypertensiv kris</t>
  </si>
  <si>
    <t>"KardiovaskulärSvikt"</t>
  </si>
  <si>
    <t>Kardiovaskulär svikt utan chock</t>
  </si>
  <si>
    <t>"Renal"</t>
  </si>
  <si>
    <t>Renal intagningsorsak</t>
  </si>
  <si>
    <t>Ingen renal orsak</t>
  </si>
  <si>
    <t>Annan renal orsak</t>
  </si>
  <si>
    <t>"Njursvikt"</t>
  </si>
  <si>
    <t>Njursvikt</t>
  </si>
  <si>
    <t>"PrerenalNjursvikt"</t>
  </si>
  <si>
    <t>Prerenal njursvikt</t>
  </si>
  <si>
    <t>"PostrenalNjursvikt"</t>
  </si>
  <si>
    <t>Postrenal njursvikt</t>
  </si>
  <si>
    <t>"Respiratorisk"</t>
  </si>
  <si>
    <t>Respiratorisk intagningsorsak</t>
  </si>
  <si>
    <t>Ingen respiratorisk orsak</t>
  </si>
  <si>
    <t>Annan respiratorisk orsak</t>
  </si>
  <si>
    <t>"AkutLungsvikt"</t>
  </si>
  <si>
    <t>Akut lungsvikt, ARDS</t>
  </si>
  <si>
    <t>"AkutPåKroniskLungsvikt"</t>
  </si>
  <si>
    <t>Akut lungsvikt på kronisk lungsvikt</t>
  </si>
  <si>
    <t>"Hepatisk"</t>
  </si>
  <si>
    <t>Hepatisk intagningsorsak</t>
  </si>
  <si>
    <t>Ingen hepatisk orsak</t>
  </si>
  <si>
    <t>Annan lever-orsak</t>
  </si>
  <si>
    <t>"Leversvikt"</t>
  </si>
  <si>
    <t>Leversvikt</t>
  </si>
  <si>
    <t>"Hematologisk"</t>
  </si>
  <si>
    <t>Hematologisk intagningsorsak</t>
  </si>
  <si>
    <t>Ingen hematologisk orsak</t>
  </si>
  <si>
    <t>Annan hematologisk orsak</t>
  </si>
  <si>
    <t>"Blödningsrubbning"</t>
  </si>
  <si>
    <t>Blödningsrubbning, DIC</t>
  </si>
  <si>
    <t>"Hemolys"</t>
  </si>
  <si>
    <t>Svår hemolys</t>
  </si>
  <si>
    <t>"Metabol"</t>
  </si>
  <si>
    <t>Metabol intagningsorsak</t>
  </si>
  <si>
    <t>Ingen metabol orsak</t>
  </si>
  <si>
    <t>Annan metabol orsak</t>
  </si>
  <si>
    <t>"SyraBasAltElektrolytrubbning"</t>
  </si>
  <si>
    <t>Syra-bas och/eller elektrolytrubbning</t>
  </si>
  <si>
    <t>"HypoAltHypertermi"</t>
  </si>
  <si>
    <t>Hypo-, hypertermi</t>
  </si>
  <si>
    <t>"HypoAltHyperglukemi"</t>
  </si>
  <si>
    <t>Hypo-, hyperglukemi</t>
  </si>
  <si>
    <t>"Gastrointestinal"</t>
  </si>
  <si>
    <t>Gastrointestinal intagningsorsak</t>
  </si>
  <si>
    <t>Ingen gastrointestinal orsak</t>
  </si>
  <si>
    <t>Annan gastrointestinal orsak</t>
  </si>
  <si>
    <t>"Pankreatit"</t>
  </si>
  <si>
    <t>Pankreatit</t>
  </si>
  <si>
    <t>Akut buk</t>
  </si>
  <si>
    <t>"Blödning"</t>
  </si>
  <si>
    <t>Gastrointestinal blödning</t>
  </si>
  <si>
    <t>"AkutOchAnnan"</t>
  </si>
  <si>
    <t>Akut buk och annat</t>
  </si>
  <si>
    <t>"Trauma"</t>
  </si>
  <si>
    <t>Trauma intagningsorsak</t>
  </si>
  <si>
    <t>Inget trauma som orsak</t>
  </si>
  <si>
    <t>Trauma</t>
  </si>
  <si>
    <t>Övrig intagningsorsak</t>
  </si>
  <si>
    <t>Ingen övrig orsak</t>
  </si>
  <si>
    <t>Övrig orsak</t>
  </si>
  <si>
    <t>Obligatoriskt då EndastObservation besvarats med ”Nej”, annars ska dessa utelämnas</t>
  </si>
  <si>
    <t>Typ: FörsenadUtskrivning</t>
  </si>
  <si>
    <t>"Orsak"</t>
  </si>
  <si>
    <t>Orsak till försenad utskrivning</t>
  </si>
  <si>
    <t>"EjFörsenadUtskrivning"</t>
  </si>
  <si>
    <t>Utskrivningen är ej försenad</t>
  </si>
  <si>
    <t>"ResursbristOspecificerad"</t>
  </si>
  <si>
    <t>Resursbrist ospecificerad</t>
  </si>
  <si>
    <t>Okänd orsak
(giltig t.o.m. 2025-12-31, därefter ska orsak anges)</t>
  </si>
  <si>
    <t>Typ: SOFA</t>
  </si>
  <si>
    <t>"Typ"</t>
  </si>
  <si>
    <t>Typ av SOFA</t>
  </si>
  <si>
    <t>"Intagning"</t>
  </si>
  <si>
    <t>SOFA vid intagningstillfället</t>
  </si>
  <si>
    <t>"Daglig"</t>
  </si>
  <si>
    <t>Daglig SOFA</t>
  </si>
  <si>
    <t>"Utskrivning"</t>
  </si>
  <si>
    <t>SOFA vid utskrivningstillfället, eller sista dagliga</t>
  </si>
  <si>
    <t>Datum på formatet ”åååå-mm-dd”. Obligatoriskt om SOFATyp = ”Daglig SOFA” och endast då ska det anges.</t>
  </si>
  <si>
    <t>Typ: MöjligDonator2009</t>
  </si>
  <si>
    <t>"Inställning"</t>
  </si>
  <si>
    <t>Patientens inställning till donation känd?</t>
  </si>
  <si>
    <t>"InställningKänd"</t>
  </si>
  <si>
    <t>Inställning känd
Besvaras endast om Inställning besvarats med ”Känd”</t>
  </si>
  <si>
    <t>"InställningOkänd"</t>
  </si>
  <si>
    <t>Inställning okänd</t>
  </si>
  <si>
    <t>Förmodat samtycke gällde, närstående informerades om organdonation och utnyttjade inte sin vetorätt</t>
  </si>
  <si>
    <t>Närstående utnyttjade sin vetorätt</t>
  </si>
  <si>
    <t>"NärståendeSaknades"</t>
  </si>
  <si>
    <t>Närstående saknades</t>
  </si>
  <si>
    <t>Närstående fanns, men informerades inte</t>
  </si>
  <si>
    <t>Närstående oense</t>
  </si>
  <si>
    <t>Den avlidne har ej kunnat identifieras</t>
  </si>
  <si>
    <t>Typ: BeslutadOrgandonation2009</t>
  </si>
  <si>
    <t>"Planerad"</t>
  </si>
  <si>
    <t>"Genomförd"</t>
  </si>
  <si>
    <t>Ett eller flera av nedanstående konstanter
Värdet 'Ja' får endast existera ensamt, och ej i kombination med något annat värde.</t>
  </si>
  <si>
    <t>Genomfördes beslutad organdonation
Besvaras endast om Planerad besvarats med ”Ja”
Ett svar per svarsrad, flera svarsrader kan anges. Om ”Ja” så ska det vara det enda svaret.</t>
  </si>
  <si>
    <t>Ja, organdonationen genomfördes (ska vara enda svaret)</t>
  </si>
  <si>
    <t>"Cirkulationskollaps"</t>
  </si>
  <si>
    <t>Organdonation genomfördes ej pga. cirkulationskollaps hos den avlidne</t>
  </si>
  <si>
    <t>"Nytillkomna"</t>
  </si>
  <si>
    <t>Organdonation genomfördes ej pga. nytillkomna/nyupptäckta medicinska orsaker hos den avlidne</t>
  </si>
  <si>
    <t>"RättsmedicinsktVeto"</t>
  </si>
  <si>
    <t>Organdonation genomfördes ej pga. rättsmedicinskt veto</t>
  </si>
  <si>
    <t>"MottagareSaknades"</t>
  </si>
  <si>
    <t>Organdonation genomfördes ej pga. recipient/mottagare saknades</t>
  </si>
  <si>
    <t>Organdonation genomfördes ej pga. närstående ändrade sig till ett veto</t>
  </si>
  <si>
    <t>"Organisatoriska"</t>
  </si>
  <si>
    <t>Organdonation genomfördes ej pga. organisatoriska orsaker</t>
  </si>
  <si>
    <t>Typ: MöjligDonator2016</t>
  </si>
  <si>
    <t>Fråga 4: Avlidnes inställning till organdonation Planerad</t>
  </si>
  <si>
    <t>Besvaras endast om Inställning besvarats med ”Känd”</t>
  </si>
  <si>
    <t>Om den avlidnes inställning till organdonation var okänd
Samtyckeutredningen visade</t>
  </si>
  <si>
    <t>Närstående fanns, men möjlighet att informera saknades</t>
  </si>
  <si>
    <t>Avlidne har ej kunnat identifieras</t>
  </si>
  <si>
    <t>Ej aktuellt, avlidne bedömd som medicinskt olämplig</t>
  </si>
  <si>
    <t>Beslutades/genomfördes organdonation</t>
  </si>
  <si>
    <t>Typ: DagligVikt</t>
  </si>
  <si>
    <t>Datum på dygnet som uppmätt vikt hör till på formatet ”åååå-mm-dd”.</t>
  </si>
  <si>
    <t>Vikten i kilo med en decimal.</t>
  </si>
  <si>
    <t>Typ: BPS</t>
  </si>
  <si>
    <t>"Ansiktsuttryck"</t>
  </si>
  <si>
    <t>Ansiktsuttryck</t>
  </si>
  <si>
    <t>Relaxed</t>
  </si>
  <si>
    <t>Partially tightened (e.g., brow lowering)</t>
  </si>
  <si>
    <t>Fully tightened (e.g., eyelid closing)</t>
  </si>
  <si>
    <t>Grimacing</t>
  </si>
  <si>
    <t>"Armrörelser"</t>
  </si>
  <si>
    <t>Armar</t>
  </si>
  <si>
    <t>No movement</t>
  </si>
  <si>
    <t>Partially bent</t>
  </si>
  <si>
    <t>Fully bent with finger flexion</t>
  </si>
  <si>
    <t>Permanently retracted</t>
  </si>
  <si>
    <t>"Andningsmönster"</t>
  </si>
  <si>
    <t>Andningsmönster om intuberad</t>
  </si>
  <si>
    <t>Tolerating movement</t>
  </si>
  <si>
    <t>Coughing but tolerating ventilation for the most of time</t>
  </si>
  <si>
    <t>Fighting ventilator</t>
  </si>
  <si>
    <t>Unable to control ventilation</t>
  </si>
  <si>
    <t>"Röstuttryck"</t>
  </si>
  <si>
    <t>Röstuttryck / vokalisering (icke intuberad / extuberad)</t>
  </si>
  <si>
    <t>No pain vocalization</t>
  </si>
  <si>
    <t>Moaning not frequent (&lt;= 3/min) and not prolonged (&lt;= 3 s)</t>
  </si>
  <si>
    <t>Moaning requent (&gt; 3/min) or prolonged (&gt; 3 s)</t>
  </si>
  <si>
    <t>Howling or verbal complaint including "Ow!" "Ouch!" or breath-holdning</t>
  </si>
  <si>
    <t>Typ: CPOT</t>
  </si>
  <si>
    <t>Facial expression</t>
  </si>
  <si>
    <t>Relaxed, neutral.
No muscle tension observed</t>
  </si>
  <si>
    <t>Tense.
Presence of frowning, brow lowering, orbit tightening and levator contraction or any other change(e.g.opening eyes or tearing during nociceptive procedures)</t>
  </si>
  <si>
    <t>Grimacing.
All previous facial movements plus eyelid tightly closed(the patient may present with mouth open or biting the endotracheal tube)</t>
  </si>
  <si>
    <t>"Kroppsrörelser"</t>
  </si>
  <si>
    <t>Body movements</t>
  </si>
  <si>
    <t>Absence of movements or normal position.
Does not move at all (doesn’t necessarily mean absence of pain) or normal position (movements not aimed toward the pain site or not made for the purpose of protection)</t>
  </si>
  <si>
    <t>Protection.
Slow, cautious movements, touching or rubbing the pain site, seeking attention through movements</t>
  </si>
  <si>
    <t>Restlessness/Agitation.
Pulling tube, attempting to sit up, moving limbs/thrashing, not following commands, striking at staff, trying to climb out of bed</t>
  </si>
  <si>
    <t>"Ventilator"</t>
  </si>
  <si>
    <t>Compliance with the ventilator (intubated patients)</t>
  </si>
  <si>
    <t>Tolerating ventilator or movement
Alarms not activated, easy ventilation</t>
  </si>
  <si>
    <t>Coughing but tolerating.
Coughing, alarms may be activated but stop spontaneously</t>
  </si>
  <si>
    <t>Fighting ventilator.
Asynchrony: blocking ventilation, alarms frequently activated</t>
  </si>
  <si>
    <t>"Ljud"</t>
  </si>
  <si>
    <t>Vocalization (extubated patients)</t>
  </si>
  <si>
    <t>Talking in normal tone or no sound</t>
  </si>
  <si>
    <t>Sighing, moaning</t>
  </si>
  <si>
    <t>Crying out, sobbing</t>
  </si>
  <si>
    <t>"Muskeltonus"</t>
  </si>
  <si>
    <t>Muscle tension, Evaluation by passive flexion and 1 Resistance to passive movements extension of upper limbs when patient is at rest or evaluation when patient is being turned</t>
  </si>
  <si>
    <t>Relaxed
No resistance to passive movements</t>
  </si>
  <si>
    <t>Tense, rigid
Resistance to passive movements</t>
  </si>
  <si>
    <t>Very tense or rigid
Strong resistance to passive movements or incapacity to complete them</t>
  </si>
  <si>
    <t>Typ: OmvårdnadSmärtaUppföljning</t>
  </si>
  <si>
    <t>"SaknasAnledning"</t>
  </si>
  <si>
    <t>Anledning till att åtgärdsuppföljning saknas</t>
  </si>
  <si>
    <t>Nej - Patienten  ej närvarande ≥4 timmar av passet</t>
  </si>
  <si>
    <t>Nej - avliden patient</t>
  </si>
  <si>
    <t>Typ: OmvårdnadDeliriumNuDesc</t>
  </si>
  <si>
    <t>Datum för NuDesc skattning</t>
  </si>
  <si>
    <t>Vårdpass för NuDesc skattning</t>
  </si>
  <si>
    <t>"Desorientering"</t>
  </si>
  <si>
    <t>Desorientering</t>
  </si>
  <si>
    <t>"Aldrig"</t>
  </si>
  <si>
    <t>Symptom förekom aldrig under arbetspasset</t>
  </si>
  <si>
    <t>"Lindrigt"</t>
  </si>
  <si>
    <t>Symptom förekom någon gång under arbetspasset, men var av lindrig grad</t>
  </si>
  <si>
    <t>"Störande"</t>
  </si>
  <si>
    <t>Symptom förekom någon gång under arbetspasset, och var mycket uttalade eller störande</t>
  </si>
  <si>
    <t>"InadekvatBeteende"</t>
  </si>
  <si>
    <t>Inadekvat beteende</t>
  </si>
  <si>
    <t>"InadekvatKommunikation"</t>
  </si>
  <si>
    <t>Inadekvat kommunikation</t>
  </si>
  <si>
    <t>"Illusioner"</t>
  </si>
  <si>
    <t>Illusioner/hallucinationer</t>
  </si>
  <si>
    <t>"PsykomotoriskFörlångsamning"</t>
  </si>
  <si>
    <t>Psykomotorisk förlångsamning</t>
  </si>
  <si>
    <t>Typ: DonatorInställningKänd2009</t>
  </si>
  <si>
    <t>"Positiv"</t>
  </si>
  <si>
    <t>Positiv till donation (true/false)</t>
  </si>
  <si>
    <t>"Dokumentationssätt"</t>
  </si>
  <si>
    <t>Dokumentationssätt, ett eller flera svar</t>
  </si>
  <si>
    <t>Muntlig</t>
  </si>
  <si>
    <t>Skriftlig</t>
  </si>
  <si>
    <t>Donationsregistret</t>
  </si>
  <si>
    <t>Typ: DonatorInställningKänd2016</t>
  </si>
  <si>
    <t>Var donatorns inställning positiv till organdonation</t>
  </si>
  <si>
    <t>Dokumentationssätt</t>
  </si>
  <si>
    <t>Typ: BeslutadOrgandonation2016</t>
  </si>
  <si>
    <t>"PlaneradesOrganDonation"</t>
  </si>
  <si>
    <t>Fråga 5: Beslutades/Planerades organdonation?</t>
  </si>
  <si>
    <t>Besvaras endast om organdonation planerades
Om ”Ja” så ska det vara det enda svaret.</t>
  </si>
  <si>
    <t>Ja, organdonationen genomfördes</t>
  </si>
  <si>
    <t>Organdonation genomfördes ej pga. cirkulationskollaps</t>
  </si>
  <si>
    <t>Organdonation genomfördes ej pga. närstående veto</t>
  </si>
  <si>
    <t>Organdonation genomfördes ej pga. bedömning som olämplig av transpantationsenheten</t>
  </si>
  <si>
    <t>Organdonation genomfördes ej pga. övrig orsak</t>
  </si>
  <si>
    <t>(**)</t>
  </si>
  <si>
    <t>Riktlinje för inmatning av dessa fält: I Användagränssnittet för inmatning av detta fält så ska användaren alltid göra ett ställingstagande, dvs om data saknas (och inget värde rapporteras) så ska användaren aktivt välja det.</t>
  </si>
  <si>
    <t>Ändringshistorik i version 5.2 revision 34</t>
  </si>
  <si>
    <t>2025-10-24</t>
  </si>
  <si>
    <t>[237]</t>
  </si>
  <si>
    <t>Exempel.Exempel Omvårdnadsdokumentation</t>
  </si>
  <si>
    <t>Exemplet på flik Exempel Omvårdnadsdokumentation är ändrat</t>
  </si>
  <si>
    <t>[238]</t>
  </si>
  <si>
    <t>XSD definitionen ändrad</t>
  </si>
  <si>
    <t>[239]</t>
  </si>
  <si>
    <t>Elementet 'ÄrSkattningGjord' är tillagt</t>
  </si>
  <si>
    <t>[240]</t>
  </si>
  <si>
    <t>Beskrivningen är ändrad från 
'Omvårdnadsvariabel smärta ska inte rapporteras för vårdtillfällen där patienten är yngre än 16'
 till 
'Omvårdnadsvariabel smärta ska bara rapporteras för vårdtillfällen med vårdtyp IVA eller TIVA'</t>
  </si>
  <si>
    <t>[241]</t>
  </si>
  <si>
    <t>Valideringsregel 27.02 - 'Omvårdnadsvariabel smärta, Tidpunkt ska anges när skattning gjordes' är borttagen</t>
  </si>
  <si>
    <t>[242]</t>
  </si>
  <si>
    <t>Beskrivningen är ändrad från 
'Omvårdnadsvariabel smärta, Datum, pass och orsak till att smärtskattning ej gjorts måste anges'
 till 
'Omvårdnadsvariabel smärta: Datum och/eller Pass ska inte anges då skattning gjorts.'</t>
  </si>
  <si>
    <t>[243]</t>
  </si>
  <si>
    <t>Beskrivningen är ändrad från 
'Omvårdnadsvariabel smärta, Tidpunkten för skattning och datum/vårdpass ska ligga inom vårdtillfället'
 till 
'Omvårdnadsvariabel smärta: Tidpunkt då skattning gjorts måste anges.'</t>
  </si>
  <si>
    <t>[244]</t>
  </si>
  <si>
    <t>Beskrivningen är ändrad från 
'Omvårdnadsvariabel smärta, ett och endast ett mätinstrument NRS, CPOT eller BPS ska anges'
 till 
'Omvårdnadsvariabel smärta: Tidpunkt måste ligga inom vårdtillfället och före ev avlidentid'</t>
  </si>
  <si>
    <t>[245]</t>
  </si>
  <si>
    <t>Beskrivningen är ändrad från 
'Omvårdnadsvariabel smärta, CPOT ska besvaras med antingen Ventilator eller Ljud, ej båda'
 till 
'Omvårdnadsvariabel smärta: Skattning med NRS, CPOT eller BPS måste anges.'</t>
  </si>
  <si>
    <t>[246]</t>
  </si>
  <si>
    <t>Beskrivningen är ändrad från 
'Omvårdnadsvariabel smärta, BPS ska besvaras med antingen Andningsmönster eller Röstuttryck, ej båda'
 till 
'Omvårdnadsvariabel smärta: BedömningSaknasAnledning ska inte anges då skattning är gjord.'</t>
  </si>
  <si>
    <t>[247]</t>
  </si>
  <si>
    <t>Beskrivningen är ändrad från 
'Omvårdnadsvariabel smärta, orsaken till att smärtskattning ej gjordes kan ej vara Avliden då vårdresultatet är Levande'
 till 
'Omvårdnadsåtgärder ska besvaras då smärta påvisats.'</t>
  </si>
  <si>
    <t>[248]</t>
  </si>
  <si>
    <t>Beskrivningen är ändrad från 
'Omvårdnadsvariabel smärta, Omvårdnadsåtgärder ska anges då smärta påvisats'
 till 
'Omvårdnadsvariabel smärta: Datum och Pass måste anges då ingen skattning gjorts'</t>
  </si>
  <si>
    <t>[249]</t>
  </si>
  <si>
    <t>Beskrivningen är ändrad från 
'Omvårdnadsvariabel smärta, Läkemedelsåtgärder ska anges då smärta påvisats'
 till 
'Omvårdnadsvariabel smärta: BedömningSaknasAnledning måste anges då ingen skattning gjorts.'</t>
  </si>
  <si>
    <t>[250]</t>
  </si>
  <si>
    <t>Beskrivningen är ändrad från 
'Omvårdnadsvariabel smärta, Uppföljning ska göras då smärta påvisats'
 till 
'Omvårdnadsvariabel smärta: Orsaken till att smärtskattning ej gjordes kan ej vara Avliden då vårdresultatet är Levande.'</t>
  </si>
  <si>
    <t>[251]</t>
  </si>
  <si>
    <t>Beskrivningen är ändrad från 
'Omvårdnadsvariabel smärta, om ingen uppföljning har gjorts så ska orsak anges'
 till 
'Omvårdnadsvariabel smärta: Tidpunkt ska inte anges då ingen skattning är gjord.'</t>
  </si>
  <si>
    <t>[252]</t>
  </si>
  <si>
    <t>Beskrivningen är ändrad från 
'Omvårdnadsvariabel smärta, ett och endast ett instrument NRS, CPOT eller BPS ska anges'
 till 
'Omvårdnadsvariabel smärta: Bedömning ska ej anges (NRS, CPOT eller BPS) då ingen skattning gjorts.'</t>
  </si>
  <si>
    <t>[253]</t>
  </si>
  <si>
    <t>Beskrivningen är ändrad från 
'Omvårdnadsvariabel smärta, orsaken till att uppföljning av smärta ej gjordes kan ej vara Avliden då vårdresultatet är Levande'
 till 
'Omvårdnadsvariabel smärta: Angivet Datum och Pass måste ligga inom vårdtillfället.'</t>
  </si>
  <si>
    <t>[254]</t>
  </si>
  <si>
    <t>Beskrivningen är ändrad från 
'Omvårdnadsvariabel smärta, kontroll så att det inte finns dubbelrapporterade pass'
 till 
'Omvårdnadsvariabel smärta: Orsak till ej gjord skattning kan inte vara Avliden då patienten var levande det innevarande passet.'</t>
  </si>
  <si>
    <t>[255]</t>
  </si>
  <si>
    <t>Beskrivningen är ändrad från 
'Omvårdnadsvariabel smärta, kontroll så att registreringar inte ligger utanför vårdtillfällets start och utskrivningstid, samt att de pass som ska finnas är rapporterade'
 till 
'Omvårdnadsvariabel smärta: Omvårdnadsåtgärder ska inte besvaras då ingen skattning gjorts..'</t>
  </si>
  <si>
    <t>[256]</t>
  </si>
  <si>
    <t>Beskrivningen är ändrad från 
''Omvårdnad smärta' ska inte registreras på IMA'
 till 
'Omvårdnadsvariabel smärta: Läkemedelsåtgärder ska inte besvaras då ingen skattning gjorts.'</t>
  </si>
  <si>
    <t>[257]</t>
  </si>
  <si>
    <t>Valideringsregel 27.09 är tillagd</t>
  </si>
  <si>
    <t>[258]</t>
  </si>
  <si>
    <t>Valideringsregel 27.19 är tillagd</t>
  </si>
  <si>
    <t>[259]</t>
  </si>
  <si>
    <t>Valideringsregel 27.20 är tillagd</t>
  </si>
  <si>
    <t>[260]</t>
  </si>
  <si>
    <t>Valideringsregel 27.21 är tillagd</t>
  </si>
  <si>
    <t>[261]</t>
  </si>
  <si>
    <t>Valideringsregel 27.22 är tillagd</t>
  </si>
  <si>
    <t>[262]</t>
  </si>
  <si>
    <t>Valideringsregel 27.23 är tillagd</t>
  </si>
  <si>
    <t>[263]</t>
  </si>
  <si>
    <t>Valideringsregel 27.24 är tillagd</t>
  </si>
  <si>
    <t>[264]</t>
  </si>
  <si>
    <t>Valideringsregel 27.25 är tillagd</t>
  </si>
  <si>
    <t>[265]</t>
  </si>
  <si>
    <t>Valideringsregel 27.26 är tillagd</t>
  </si>
  <si>
    <t>[266]</t>
  </si>
  <si>
    <t>Valideringsregel 27.27 är tillagd</t>
  </si>
  <si>
    <t>[267]</t>
  </si>
  <si>
    <t>Valideringsregel 27.28 är tillagd</t>
  </si>
  <si>
    <t>[268]</t>
  </si>
  <si>
    <t>[269]</t>
  </si>
  <si>
    <t>Beskrivningen är ändrad från 
'Omvårdnadsvariabel sedering ska inte rapporteras för vårdtillfällen där patienten är yngre än 16'
 till 
'Omvårdnadsvariabel sedering ska bara rapporteras för vårdtillfällen med vårdtyp IVA eller TIVA'</t>
  </si>
  <si>
    <t>[270]</t>
  </si>
  <si>
    <t>Beskrivningen är ändrad från 
'Omvårdnadsvariabel sedering, Datum och Vårdpass ska anges när skattning saknas'
 till 
'Omvårdnadsvariabel sedering ska inte rapporteras för vårdtillfällen där patienten är yngre än 16'</t>
  </si>
  <si>
    <t>[271]</t>
  </si>
  <si>
    <t>Valideringsregel 28.03 - 'Omvårdnadsvariabel smärta, orsaken till att smärtskattning ej gjordes kan ej vara Avliden då vårdresultatet är Levande' är borttagen</t>
  </si>
  <si>
    <t>[272]</t>
  </si>
  <si>
    <t>Beskrivningen är ändrad från 
'Omvårdnadsvariabel sedering, Tidpunkt eller orsak till att smärtskattning ej gjorts måste anges'
 till 
'Omvårdnadsvariabel sedering: Ordinerad sederingsgrad, RASS och/eller MAAS ska ej anges då ’Finns ordinerad sederingsgrad’ besvarats med nej.'</t>
  </si>
  <si>
    <t>[273]</t>
  </si>
  <si>
    <t>Valideringsregel 28.06 - 'Omvårdnadsvariabel sedering, Tidpunkten för skattning och datum/vårdpass ska ligga inom vårdtillfället' är borttagen</t>
  </si>
  <si>
    <t>[274]</t>
  </si>
  <si>
    <t>Beskrivningen är ändrad från 
'Omvårdnadsvariabel sedering, skattning ska anges. Antingen som RASS eller MAAS, ej båda'
 till 
'Omvårdnadsvariabel sedering: Tidpunkt då skattning gjorts måste anges.'</t>
  </si>
  <si>
    <t>[275]</t>
  </si>
  <si>
    <t>Beskrivningen är ändrad från 
'Omvårdnadsvariabel sedering, orsak till ej uppfyllt sederingsmål ska anges då målet ej uppfylls'
 till 
'Omvårdnadsvariabel sedering: Tidpunkt måste ligga inom vårdtillfället och före ev avlidentid'</t>
  </si>
  <si>
    <t>[276]</t>
  </si>
  <si>
    <t>Beskrivningen är ändrad från 
'Omvårdnadsvariabel sedering, kontroll så att det inte finns dubbelrapporterade pass'
 till 
'Omvårdnadsvariabel sedering: Skattning med RASS eller MASS måste anges.'</t>
  </si>
  <si>
    <t>[277]</t>
  </si>
  <si>
    <t>Beskrivningen är ändrad från 
'Omvårdnadsvariabel sedering, kontroll så att registreringar inte ligger utanför vårdtillfällets start och utskrivningstid, samt att de pass som ska finnas är rapporterade'
 till 
'Omvårdnadsvariabel sedering: Datum och/eller pass ska inte anges då skattning är gjord.'</t>
  </si>
  <si>
    <t>[278]</t>
  </si>
  <si>
    <t>Beskrivningen är ändrad från 
''Omvårdnad sedering' ska inte registreras på IMA'
 till 
'Omvårdnadsvariabel sedering: BedömningSaknasAnledning ska inte anges då skattning är gjord.'</t>
  </si>
  <si>
    <t>[279]</t>
  </si>
  <si>
    <t>Valideringsregel 27.02 är tillagd</t>
  </si>
  <si>
    <t>[280]</t>
  </si>
  <si>
    <t>Valideringsregel 28.12 är tillagd</t>
  </si>
  <si>
    <t>[281]</t>
  </si>
  <si>
    <t>Valideringsregel 28.13 är tillagd</t>
  </si>
  <si>
    <t>[282]</t>
  </si>
  <si>
    <t>Valideringsregel 28.14 är tillagd</t>
  </si>
  <si>
    <t>[283]</t>
  </si>
  <si>
    <t>Valideringsregel 28.15 är tillagd</t>
  </si>
  <si>
    <t>[284]</t>
  </si>
  <si>
    <t>Valideringsregel 28.16 är tillagd</t>
  </si>
  <si>
    <t>[285]</t>
  </si>
  <si>
    <t>Valideringsregel 28.17 är tillagd</t>
  </si>
  <si>
    <t>[286]</t>
  </si>
  <si>
    <t>Valideringsregel 28.18 är tillagd</t>
  </si>
  <si>
    <t>[287]</t>
  </si>
  <si>
    <t>Valideringsregel 28.19 är tillagd</t>
  </si>
  <si>
    <t>[288]</t>
  </si>
  <si>
    <t>Valideringsregel 28.20 är tillagd</t>
  </si>
  <si>
    <t>[289]</t>
  </si>
  <si>
    <t>Valideringsregel 28.21 är tillagd</t>
  </si>
  <si>
    <t>[290]</t>
  </si>
  <si>
    <t>Valideringsregel 28.22 är tillagd</t>
  </si>
  <si>
    <t>[291]</t>
  </si>
  <si>
    <t>Valideringsregel 28.23 är tillagd</t>
  </si>
  <si>
    <t>[292]</t>
  </si>
  <si>
    <t>Valideringsregel 28.24 är tillagd</t>
  </si>
  <si>
    <t>[293]</t>
  </si>
  <si>
    <t>Valideringsregel 28.25 är tillagd</t>
  </si>
  <si>
    <t>[294]</t>
  </si>
  <si>
    <t>Valideringsregel 28.26 är tillagd</t>
  </si>
  <si>
    <t>[295]</t>
  </si>
  <si>
    <t>Valideringsregel 28.27 är tillagd</t>
  </si>
  <si>
    <t>[296]</t>
  </si>
  <si>
    <t>Valideringsregel 28.28 är tillagd</t>
  </si>
  <si>
    <t>[297]</t>
  </si>
  <si>
    <t>Valideringsregel 28.29 är tillagd</t>
  </si>
  <si>
    <t>[298]</t>
  </si>
  <si>
    <t>Valideringsregel 29.01 är tillagd</t>
  </si>
  <si>
    <t>[299]</t>
  </si>
  <si>
    <t>Valideringsregel 29.02 är tillagd</t>
  </si>
  <si>
    <t>[300]</t>
  </si>
  <si>
    <t>Typen är ändrad från 'NuDesc' till 'OmvårdnadDeliriumNuDesc'</t>
  </si>
  <si>
    <t>[301]</t>
  </si>
  <si>
    <t>[302]</t>
  </si>
  <si>
    <t>Beskrivningen är ändrad från 
'The Nursing Delirium Screening Scale (NuDesc)'
 till 
'NUDesc för Delirium med datum och pass'</t>
  </si>
  <si>
    <t>[303]</t>
  </si>
  <si>
    <t>Elementet 'Datum' är tillagt</t>
  </si>
  <si>
    <t>[304]</t>
  </si>
  <si>
    <t>Elementet 'Pass' är tillagt</t>
  </si>
  <si>
    <t>[305]</t>
  </si>
  <si>
    <t>[306]</t>
  </si>
  <si>
    <t>Valideringsregel 29.01 - 'Omvårdnadsvariabel delirium ska inte rapporteras för de som är yngre än 16 år' är borttagen</t>
  </si>
  <si>
    <t>[307]</t>
  </si>
  <si>
    <t>Valideringsregel 29.02 - 'Omvårdnadsvariabel delirium, Orskak, Datum och Vårdpass ska anges när skattning saknas' är borttagen</t>
  </si>
  <si>
    <t>[308]</t>
  </si>
  <si>
    <t>Beskrivningen är ändrad från 
'Omvårdnadsvariabel delirium, orsaken till att smärtskattning ej gjordes kan ej vara Avliden då vårdresultatet är Levande'
 till 
'Omvårdnadsvariabel delirium: Datum och/eller Pass ska inte anges då skattning gjorts.'</t>
  </si>
  <si>
    <t>[309]</t>
  </si>
  <si>
    <t>Beskrivningen är ändrad från 
'Omvårdnadsvariabel delirium, endast ett instrument, NuDesc eller CAM-ICU'
 till 
'Omvårdnadsvariabel delirium: Tidpunkt måste ligga inom vårdtillfället och före ev avlidentid'</t>
  </si>
  <si>
    <t>[310]</t>
  </si>
  <si>
    <t>Beskrivningen är ändrad från 
'Omvårdnadsvariabel delirium, om delirium kan konstateras vid skattning måste åtgärder anges, om inte delirium konstaterats ska de ej anges.'
 till 
'Omvårdnadsvariabel delirium: Skattning med CAM-ICU eller NuDesc måste anges.'</t>
  </si>
  <si>
    <t>[311]</t>
  </si>
  <si>
    <t>Beskrivningen är ändrad från 
'Omvårdnadsvariabel delirium, kontroll så att det inte finns dubbelrapporterade pass'
 till 
'Omvårdnadsvariabel delirium: Tidpunkt för skattning med CAM-ICU måste anges.'</t>
  </si>
  <si>
    <t>[312]</t>
  </si>
  <si>
    <t>Valideringsregel 29.07 - 'Omvårdnadsvariabel delirium, kontroll så att registreringar inte ligger utanför vårdtillfällets start och utskrivningstid, samt att de pass som ska finnas är rapporterade' är borttagen</t>
  </si>
  <si>
    <t>[313]</t>
  </si>
  <si>
    <t>Beskrivningen är ändrad från 
''Omvårdnad delirium' ska inte registreras på IMA'
 till 
'Omvårdnadsvariabel delirium: BedömningSaknasAnledning ska inte anges då skattning är gjord.'</t>
  </si>
  <si>
    <t>[314]</t>
  </si>
  <si>
    <t>Valideringsregel 29.09 är tillagd</t>
  </si>
  <si>
    <t>[315]</t>
  </si>
  <si>
    <t>Valideringsregel 29.10 är tillagd</t>
  </si>
  <si>
    <t>[316]</t>
  </si>
  <si>
    <t>Valideringsregel 29.11 är tillagd</t>
  </si>
  <si>
    <t>[317]</t>
  </si>
  <si>
    <t>Valideringsregel 29.12 är tillagd</t>
  </si>
  <si>
    <t>[318]</t>
  </si>
  <si>
    <t>Valideringsregel 29.13 är tillagd</t>
  </si>
  <si>
    <t>[319]</t>
  </si>
  <si>
    <t>Valideringsregel 29.14 är tillagd</t>
  </si>
  <si>
    <t>[320]</t>
  </si>
  <si>
    <t>Valideringsregel 29.15 är tillagd</t>
  </si>
  <si>
    <t>[321]</t>
  </si>
  <si>
    <t>Valideringsregel 29.16 är tillagd</t>
  </si>
  <si>
    <t>[322]</t>
  </si>
  <si>
    <t>Valideringsregel 29.17 är tillagd</t>
  </si>
  <si>
    <t>[323]</t>
  </si>
  <si>
    <t>Valideringsregel 29.18 är tillagd</t>
  </si>
  <si>
    <t>[324]</t>
  </si>
  <si>
    <t>Valideringsregel 29.19 är tillagd</t>
  </si>
  <si>
    <t>[325]</t>
  </si>
  <si>
    <t>Valideringsregel 29.20 är tillagd</t>
  </si>
  <si>
    <t>[326]</t>
  </si>
  <si>
    <t>Valideringsregel 29.21 är tillagd</t>
  </si>
  <si>
    <t>[327]</t>
  </si>
  <si>
    <t>Valideringsregel 29.22 är tillagd</t>
  </si>
  <si>
    <t>[328]</t>
  </si>
  <si>
    <t>Valideringsregel 29.23 är tillagd</t>
  </si>
  <si>
    <t>Ändringshistorik i version 5.2 revision 33</t>
  </si>
  <si>
    <t>2025-08-27</t>
  </si>
  <si>
    <t>[225]</t>
  </si>
  <si>
    <t>[226]</t>
  </si>
  <si>
    <t>Beskrivningen på värdet 'Medvetandesänkt' är ändrad från 'Nej - GCS &lt;10, RLS85 &gt;4' till 'Bedömning kan ej göras på grund av sänkt medvetandegrad (GCS &lt;10, RLS-85 &gt;4)'</t>
  </si>
  <si>
    <t>[227]</t>
  </si>
  <si>
    <t>Beskrivningen på värdet 'EjNärvarande' är ändrad från 'Nej - Patienten  ej närvarande ≥4 timmar av passet' till 'Patienten ej närvarande ≥4 timmar av passet'</t>
  </si>
  <si>
    <t>[228]</t>
  </si>
  <si>
    <t>Beskrivningen på värdet 'Avliden' är ändrad från 'Nej - avliden patient' till 'Patient avliden'</t>
  </si>
  <si>
    <t>[229]</t>
  </si>
  <si>
    <t>Värdet 'AnnanOrsak' kan nu anges som ett giltigt värde</t>
  </si>
  <si>
    <t>[230]</t>
  </si>
  <si>
    <t>[231]</t>
  </si>
  <si>
    <t>[232]</t>
  </si>
  <si>
    <t>[233]</t>
  </si>
  <si>
    <t>[234]</t>
  </si>
  <si>
    <t>Beskrivningen på värdet 'Medvetandesänkt' är ändrad från 'Bedömning kan ej göras på grund av sänkt medvetandegrad (MAAS &lt;2, RASS &lt; -3, GCS &lt;10, RLS-85 &gt;4)' till 'Bedömning kan ej göras på grund av sänkt medvetandegrad (GCS &lt;10, RLS-85 &gt;4)'</t>
  </si>
  <si>
    <t>[235]</t>
  </si>
  <si>
    <t>Värdet 'DjuptSederad' kan nu anges som ett giltigt värde</t>
  </si>
  <si>
    <t>[236]</t>
  </si>
  <si>
    <t>Ändringshistorik i version 5.2 revision 32</t>
  </si>
  <si>
    <t>2025-05-15</t>
  </si>
  <si>
    <t>[200]</t>
  </si>
  <si>
    <t>[201]</t>
  </si>
  <si>
    <t>Beskrivningen är ändrad från 
'Kontrollerar så att filtypen motsvarar avdelningstypen.'
 till 
'Kontrollerar så att filtypen motsvarar avdelningstypen'</t>
  </si>
  <si>
    <t>[202]</t>
  </si>
  <si>
    <t>Beskrivningen är ändrad från 
'Kön måste anges då Personnrtyp inte är angivet som 'Korrekt' och då Personnrtyp är 'Korrekt' så måste angivet kön och könssiffran i personnumret stämma överens'
 till 
'Kön måste anges då Personnrtyp inte är angivet som 'Korrekt' (får saknas om ej valideringsklart) och då Personnrtyp är 'Korrekt' så måste angivet kön och könssiffran i personnumret stämma överens'</t>
  </si>
  <si>
    <t>[203]</t>
  </si>
  <si>
    <t>Beskrivningen är ändrad från 
'Okänt kön registrerat som '?' kan bara anges fram tom 2011-12-31'
 till 
'Okänt kön registrerat som '?' kan bara anges fram tom 2011-12-31 (tillåtet om ej valideringsklart)'</t>
  </si>
  <si>
    <t>[204]</t>
  </si>
  <si>
    <t>Beskrivningen på värdet 'AnnanIVA' är ändrad från 'Annan IVA' till 'Annan IVA, Intensivvårdsavdelning'</t>
  </si>
  <si>
    <t>[205]</t>
  </si>
  <si>
    <t>Beskrivningen på värdet 'AnnatSjukhus' är ändrad från 'Annat sjukhus (ej IVA)' till 'Vårdavdelning på annat sjukhus (ej IVA eller IMA)'</t>
  </si>
  <si>
    <t>[206]</t>
  </si>
  <si>
    <t>Beskrivningen på värdet 'Intermediärvård' är ändrad från 'Intermediärvård' till 'Intermediärvårdsenhet, Annan IMA'</t>
  </si>
  <si>
    <t>[207]</t>
  </si>
  <si>
    <t>Värdet 'Specialistvårdsmottagning' kan nu anges som ett giltigt värde</t>
  </si>
  <si>
    <t>[208]</t>
  </si>
  <si>
    <t>Värdet 'KonverteringTillIMA' kan nu anges som ett giltigt värde</t>
  </si>
  <si>
    <t>[209]</t>
  </si>
  <si>
    <t>Beskrivningen på värdet 'AnnatSjukhus' är ändrad från 'Annat sjukhus' till 'Vårdavdelning på annat sjukhus (ej IVA eller IMA)'</t>
  </si>
  <si>
    <t>[210]</t>
  </si>
  <si>
    <t>[211]</t>
  </si>
  <si>
    <t>[212]</t>
  </si>
  <si>
    <t>Värdet 'KonverteradTillIMA' kan nu anges som ett giltigt värde</t>
  </si>
  <si>
    <t>[213]</t>
  </si>
  <si>
    <t>Beskrivningen är ändrad från 
'Utskrivningsorsak måste anges om 'Utskriven till' är 'Annan IVA' eller 'Annat sjukhus''
 till 
'Utskrivningsorsak måste anges om 'Utskriven till' är 'Annan IVA' eller 'Annat sjukhus' (ger endast varning om ej valideringsklart)'</t>
  </si>
  <si>
    <t>[214]</t>
  </si>
  <si>
    <t>Valideringsregel 3.25 är tillagd</t>
  </si>
  <si>
    <t>[215]</t>
  </si>
  <si>
    <t>Valideringsregel 3.26 är tillagd</t>
  </si>
  <si>
    <t>[216]</t>
  </si>
  <si>
    <t>Beskrivningen är ändrad från 
'Operationstyp ska anges besvaras om opererad = 'Ja' för vårdtillfället. Operationstyp skall ej anges när opererad är besvarad med 'Nej''
 till 
'Operationstyp ska anges besvaras om opererad = 'Ja' för vårdtillfället (ger endast varning om ej valideringsklart). Operationstyp skall ej anges när opererad är besvarad med 'Nej''</t>
  </si>
  <si>
    <t>[217]</t>
  </si>
  <si>
    <t>Beskrivningen är ändrad från 
'Registering av ClinicalFrailtyScale ska endast förekomma för vårdtyperna 'IVA' eller 'TIVA''
 till 
'Registering av ClinicalFrailtyScale ska endast förekomma för vårdtyperna 'IVA','TIVA' eller 'IMA''</t>
  </si>
  <si>
    <t>[218]</t>
  </si>
  <si>
    <t>Beskrivningen är ändrad från 
'Daglig SOFA ska endast anges om vårdtyp är IVA eller TIVA '
 till 
'Daglig SOFA ska endast anges om vårdtyp är 'IVA','TIVA' eller 'IMA''</t>
  </si>
  <si>
    <t>[219]</t>
  </si>
  <si>
    <t>Valideringsregel 31.64 är tillagd</t>
  </si>
  <si>
    <t>[220]</t>
  </si>
  <si>
    <t>Valideringsregel 11.05 är tillagd</t>
  </si>
  <si>
    <t>[221]</t>
  </si>
  <si>
    <t>Valideringsregel 25.04 är tillagd</t>
  </si>
  <si>
    <t>[222]</t>
  </si>
  <si>
    <t>Valideringsregel 27.18 är tillagd</t>
  </si>
  <si>
    <t>[223]</t>
  </si>
  <si>
    <t>Valideringsregel 28.11 är tillagd</t>
  </si>
  <si>
    <t>[224]</t>
  </si>
  <si>
    <t>Valideringsregel 29.08 är tillagd</t>
  </si>
  <si>
    <t>Ändringshistorik i version 5.2 revision 31</t>
  </si>
  <si>
    <t>2025-03-25</t>
  </si>
  <si>
    <t>[185]</t>
  </si>
  <si>
    <t>Exempel.Exempel 1</t>
  </si>
  <si>
    <t>Exemplet på flik Exempel 1 är ändrat</t>
  </si>
  <si>
    <t>[186]</t>
  </si>
  <si>
    <t>Exempel.Exempel 2</t>
  </si>
  <si>
    <t>Exemplet på flik Exempel 2 är ändrat</t>
  </si>
  <si>
    <t>[187]</t>
  </si>
  <si>
    <t>Exempel.Exempel 3</t>
  </si>
  <si>
    <t>Exemplet på flik Exempel 3 är ändrat</t>
  </si>
  <si>
    <t>[188]</t>
  </si>
  <si>
    <t>Exempel.Exempel AvlidenPåIVA2020</t>
  </si>
  <si>
    <t>Exemplet 'Exempel AvlidenPåIVA2020' är borttaget</t>
  </si>
  <si>
    <t>[189]</t>
  </si>
  <si>
    <t>Exempel.Exempel AvlidenPåIVA2024</t>
  </si>
  <si>
    <t>Exemplet 'Exempel AvlidenPåIVA2024' är borttaget</t>
  </si>
  <si>
    <t>[190]</t>
  </si>
  <si>
    <t>[191]</t>
  </si>
  <si>
    <t>Exempel.Exempel Daglig SOFA</t>
  </si>
  <si>
    <t>Exemplet på flik Exempel Daglig SOFA är ändrat</t>
  </si>
  <si>
    <t>[192]</t>
  </si>
  <si>
    <t>Beskrivningen är ändrad från 
'Upprepas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till 
'Upprepas inom vårdtillfället för varje dygn
”In SOFA” och ”Ut SOFA” måste anges på alla vårdtillfällen. ”Daglig SOFA” måste anges för alla vårdtillfällen som passerar 00:00 minst en gång och att vårdtillfället är 5 timmar eller längre.Varje daglig SOFA som enligt riktlinjen ska finnas, ska vara med i filen.
Kan endast anges då Vårdtyp är IVA, BIVA eller TIVA och för patienter ≥ 16 år.
SOFA ska endast rapporteras t.o.m. 2025-01-01, därefter ska Daglig SOFA rapporteras i stället.'</t>
  </si>
  <si>
    <t>[193]</t>
  </si>
  <si>
    <t>Beskrivningen är ändrad från 
'Omvårdnadsvariabel smärta, kontroll så att registreringar inte ligger utanför vårdtillfällets start och utskrivningstid'
 till 
'Omvårdnadsvariabel smärta, kontroll så att registreringar inte ligger utanför vårdtillfällets start och utskrivningstid, samt att de pass som ska finnas är rapporterade'</t>
  </si>
  <si>
    <t>[194]</t>
  </si>
  <si>
    <t>Valideringsregel 28.01 - 'Omvårdnadsvariabel sedering ska inte rapporteras för vårdtillfällen där patienten är yngre än 16' är borttagen</t>
  </si>
  <si>
    <t>[195]</t>
  </si>
  <si>
    <t>[196]</t>
  </si>
  <si>
    <t>Beskrivningen är ändrad från 
'Omvårdnadsvariabel sedering, kontroll så att registreringar inte ligger utanför vårdtillfällets start och utskrivningstid'
 till 
'Omvårdnadsvariabel sedering, kontroll så att registreringar inte ligger utanför vårdtillfällets start och utskrivningstid, samt att de pass som ska finnas är rapporterade'</t>
  </si>
  <si>
    <t>[197]</t>
  </si>
  <si>
    <t>Valideringsregel 28.01 är tillagd</t>
  </si>
  <si>
    <t>[198]</t>
  </si>
  <si>
    <t>SIRData.Vårdtillfällen.OmvårdnadDelirium.Regel: '29.07'</t>
  </si>
  <si>
    <t>Beskrivningen är ändrad från 
'Omvårdnadsvariabel delirium, kontroll så att registreringar inte ligger utanför vårdtillfällets start och utskrivningstid'
 till 
'Omvårdnadsvariabel delirium, kontroll så att registreringar inte ligger utanför vårdtillfällets start och utskrivningstid, samt att de pass som ska finnas är rapporterade'</t>
  </si>
  <si>
    <t>[199]</t>
  </si>
  <si>
    <t>Ändringshistorik i version 5.2 revision 30</t>
  </si>
  <si>
    <t>2025-02-24</t>
  </si>
  <si>
    <t>[174]</t>
  </si>
  <si>
    <t>[175]</t>
  </si>
  <si>
    <t>Beskrivningen är ändrad från 
'Typ av fil, ska vara ”Intensivvårdsdata”'
 till 
'Typ av fil, kan vara ”Intensivvårdsdata” eller "Intermiärvårdsdata"'</t>
  </si>
  <si>
    <t>[176]</t>
  </si>
  <si>
    <t>[177]</t>
  </si>
  <si>
    <t>Värdet 'Intermediärvårdsdata' kan nu anges som ett giltigt värde</t>
  </si>
  <si>
    <t>[178]</t>
  </si>
  <si>
    <t>Beskrivningen är ändrad från 
'Anger slutdatum (till och med) för urvalsperioden avseende inskrivningstid.
Varje rapport förväntas omfatta hela föregående år och all data för innevarande år!
Detta för att ha en medveten överlappning så att alla vårdtillfällen kommer med.
Äldre data kommer alltså att ersättas med färskare.  Således viss och successiv uppdatering av data.'
 till 
'Anger slutdatum (till och med) för urvalsperioden avseende inskrivningstid.
Rapportfilen förväntas innehålla samtliga vårdtillfällen inom den angivna perioden. De vårdtillfällen som tidigare rapporterats i perioden och inte finns med i den nya filen kommer att raderas.
Varje rapport förväntas omfatta hela föregående år och all data för innevarande år!
Detta för att ha en medveten överlappning så att alla vårdtillfällen kommer med.
Äldre data kommer alltså att ersättas med färskare.  Således viss och successiv uppdatering av data.'</t>
  </si>
  <si>
    <t>[179]</t>
  </si>
  <si>
    <t>[180]</t>
  </si>
  <si>
    <t>Beskrivningen är ändrad från 
'Kontrollerar så att avdelningen är godkänd, och att det är en intensivvårdsavdelning.'
 till 
'Kontrollerar så att avdelningen är godkänd, och att det är en intensivvårdsavdelning eller en intermiärvårdsavdelning.'</t>
  </si>
  <si>
    <t>[181]</t>
  </si>
  <si>
    <t>Valideringsregel 0.03 är tillagd</t>
  </si>
  <si>
    <t>[182]</t>
  </si>
  <si>
    <t>Värdet 'IMA' kan nu anges som ett giltigt värde</t>
  </si>
  <si>
    <t>[183]</t>
  </si>
  <si>
    <t>Elementet 'FörsenadUtskrivning' är tillagt</t>
  </si>
  <si>
    <t>[184]</t>
  </si>
  <si>
    <t>Valideringsregel 3.24 är tillagd</t>
  </si>
  <si>
    <t>Ändringshistorik i version 5.2 revision 29</t>
  </si>
  <si>
    <t>2025-01-31</t>
  </si>
  <si>
    <t>[133]</t>
  </si>
  <si>
    <t>Beskrivningen är ändrad från 
'Ålder får vara mellan 0 och 140 år'
 till 
'Ålder får vara mellan 0 och 105 år'</t>
  </si>
  <si>
    <t>[134]</t>
  </si>
  <si>
    <t>Beskrivningen är ändrad från 
'Higgins-status'
 till 
'Higgins-status
Endast obligatorisk för beräkning av EMR2010sv. Fullständig ska då omfatta de värden som nedan anges som obligatoriska.'</t>
  </si>
  <si>
    <t>[135]</t>
  </si>
  <si>
    <t>[136]</t>
  </si>
  <si>
    <t>Beskrivningen är ändrad från 
'Antal tidigare hjärtoperationer före aktuell operation
Ej obligatorisk för beräkningen av EMR'
 till 
'Antal tidigare hjärtoperationer före aktuell operation'</t>
  </si>
  <si>
    <t>[137]</t>
  </si>
  <si>
    <t>[138]</t>
  </si>
  <si>
    <t>Beskrivningen är ändrad från 
'Tidigare kärlkirurgi före aktuellt vårdtillfälle
Ej obligatorisk för beräkningen av EMR'
 till 
'Tidigare kärlkirurgi före aktuellt vårdtillfälle'</t>
  </si>
  <si>
    <t>[139]</t>
  </si>
  <si>
    <t>[140]</t>
  </si>
  <si>
    <t>Beskrivningen är ändrad från 
'Preopertiv vikt i kg
Värdet är obligatoriskt för beräkningen av EMR'
 till 
'Preopertiv vikt i kg
Värdet är obligatoriskt för beräkningen av EMR2010sv'</t>
  </si>
  <si>
    <t>[141]</t>
  </si>
  <si>
    <t>[142]</t>
  </si>
  <si>
    <t>Beskrivningen är ändrad från 
'Preoperativ längd i cm
Värdet är obligatoriskt för beräkningen av EMR'
 till 
'Preoperativ längd i cm
Värdet är obligatoriskt för beräkningen av EMR2010sv'</t>
  </si>
  <si>
    <t>[143]</t>
  </si>
  <si>
    <t>[144]</t>
  </si>
  <si>
    <t>Beskrivningen är ändrad från 
'Kreatinin preoperativt
Preoperativt uppmätt kreatinin (max 4 dygn före operationsdygnet)
Värdet är obligatoriskt för beräkningen av EMR'
 till 
'Kreatinin preoperativt
Preoperativt uppmätt kreatinin (max 4 dygn före operationsdygnet)
Värdet är obligatoriskt för beräkningen av EMR2010sv'</t>
  </si>
  <si>
    <t>[145]</t>
  </si>
  <si>
    <t>[146]</t>
  </si>
  <si>
    <t>Beskrivningen är ändrad från 
'Albumin preoperativt.
Preoperativt uppmätt albumin (max 4 dygn före operationsdygnet)
Värdet är obligatoriskt för beräkningen av EMR'
 till 
'Albumin preoperativt.
Preoperativt uppmätt albumin (max 4 dygn före operationsdygnet)
Värdet är obligatoriskt för beräkningen av EMR2010sv'</t>
  </si>
  <si>
    <t>[147]</t>
  </si>
  <si>
    <t>[148]</t>
  </si>
  <si>
    <t>Beskrivningen är ändrad från 
'Tid med hjärt-lungmaskin (sammanlagd tid vid flera episoder)
Värdet är obligatoriskt för beräkningen av EMR. Ange 0 om ingen ECC använts.'
 till 
'Tid med hjärt-lungmaskin (sammanlagd tid vid flera episoder)
Värdet är obligatoriskt för beräkningen av EMR2020sv och EMR2010sv. Ange 0 om ingen ECC använts.'</t>
  </si>
  <si>
    <t>[149]</t>
  </si>
  <si>
    <t>[150]</t>
  </si>
  <si>
    <t>Beskrivningen är ändrad från 
'Ballongpump
Värdet är obligatoriskt för beräkningen av EMR'
 till 
'Ballongpump
Värdet är obligatoriskt för beräkningen av EMR2010sv'</t>
  </si>
  <si>
    <t>[151]</t>
  </si>
  <si>
    <t>[152]</t>
  </si>
  <si>
    <t>Beskrivningen är ändrad från 
'Syrgaskoncentrationen i andningsluften i %
Värdet är obligatoriskt för beräkningen av EMR'
 till 
'Syrgaskoncentrationen i andningsluften i %
Värdet är obligatoriskt för beräkningen av EMR2010sv'</t>
  </si>
  <si>
    <t>[153]</t>
  </si>
  <si>
    <t>[154]</t>
  </si>
  <si>
    <t>Beskrivningen är ändrad från 
'Arteriella koldioxidtensionen i kPa, en decimal
Värdet är obligatoriskt för beräkningen av EMR'
 till 
'Arteriella koldioxidtensionen i kPa, en decimal
Värdet är obligatoriskt för beräkningen av EMR2010sv'</t>
  </si>
  <si>
    <t>[155]</t>
  </si>
  <si>
    <t>[156]</t>
  </si>
  <si>
    <t>Beskrivningen är ändrad från 
'Arteriella syrgaskoncentrationen, en decimal
Värdet är obligatoriskt för beräkningen av EMR'
 till 
'Arteriella syrgaskoncentrationen, en decimal
Värdet är obligatoriskt för beräkningen av EMR2010sv'</t>
  </si>
  <si>
    <t>[157]</t>
  </si>
  <si>
    <t>[158]</t>
  </si>
  <si>
    <t>Beskrivningen är ändrad från 
'Arteriella syrgaskoncentrationen i %
Värdet är obligatoriskt för beräkningen av EMR'
 till 
'Arteriella syrgaskoncentrationen i %
Värdet är obligatoriskt för beräkningen av EMR2010sv'</t>
  </si>
  <si>
    <t>[159]</t>
  </si>
  <si>
    <t>[160]</t>
  </si>
  <si>
    <t>Beskrivningen är ändrad från 
'Hjärtfrekvens vid intagning
Värdet är obligatoriskt för beräkningen av EMR'
 till 
'Hjärtfrekvens vid intagning
Värdet är obligatoriskt för beräkningen av EMR2010sv'</t>
  </si>
  <si>
    <t>[161]</t>
  </si>
  <si>
    <t>[162]</t>
  </si>
  <si>
    <t>Beskrivningen är ändrad från 
'Central venöst tryck i mmHg
Värdet är obligatoriskt för beräkningen av EMR'
 till 
'Central venöst tryck i mmHg
Värdet är obligatoriskt för beräkningen av EMR2010sv'</t>
  </si>
  <si>
    <t>[163]</t>
  </si>
  <si>
    <t>[164]</t>
  </si>
  <si>
    <t>Beskrivningen är ändrad från 
'Basöverskott
Värdet är obligatoriskt för beräkningen av EMR'
 till 
'Basöverskott
Värdet är obligatoriskt för beräkningen av EMR2010sv'</t>
  </si>
  <si>
    <t>[165]</t>
  </si>
  <si>
    <t>[166]</t>
  </si>
  <si>
    <t>Beskrivningen är ändrad från 
'TEDA aktiverad vid ankomst
Värdet är obligatoriskt för beräkningen av EMR'
 till 
'TEDA aktiverad vid ankomst'</t>
  </si>
  <si>
    <t>[167]</t>
  </si>
  <si>
    <t>[168]</t>
  </si>
  <si>
    <t>Beskrivningen är ändrad från 
'Intuberad vid ankomst
Värdet är obligatoriskt för beräkningen av EMR'
 till 
'Intuberad vid ankomst'</t>
  </si>
  <si>
    <t>[169]</t>
  </si>
  <si>
    <t>[170]</t>
  </si>
  <si>
    <t>Beskrivningen är ändrad från 
'Aorta-tångtid (vid flera – summan), antal minuter
Värdet är obligatoriskt för beräkningen av EMR'
 till 
'Aorta-tångtid (vid flera – summan), antal minuter'</t>
  </si>
  <si>
    <t>[171]</t>
  </si>
  <si>
    <t>[172]</t>
  </si>
  <si>
    <t>Mätenhet ändrad från 'cm' till 'm'</t>
  </si>
  <si>
    <t>[173]</t>
  </si>
  <si>
    <t>Beskrivningen av mätenheten är ändrad från 'centimeter' till 'meter'</t>
  </si>
  <si>
    <t>Ändringshistorik i version 5.2 revision 28</t>
  </si>
  <si>
    <t>2024-10-29</t>
  </si>
  <si>
    <t>[131]</t>
  </si>
  <si>
    <t>[132]</t>
  </si>
  <si>
    <t>Värdet 'OlämpligSomDCDdonatorMedicinskaSkäl' kan nu anges som ett giltigt värde</t>
  </si>
  <si>
    <t>Ändringshistorik i version 5.2 revision 27</t>
  </si>
  <si>
    <t>2024-09-05</t>
  </si>
  <si>
    <t>[129]</t>
  </si>
  <si>
    <t>Valideringsregel 3.23 är tillagd</t>
  </si>
  <si>
    <t>[130]</t>
  </si>
  <si>
    <t>Valideringsregel 1.98 är tillagd</t>
  </si>
  <si>
    <t>Ändringshistorik i version 5.2 revision 26</t>
  </si>
  <si>
    <t>2024-09-04</t>
  </si>
  <si>
    <t>[86]</t>
  </si>
  <si>
    <t>[87]</t>
  </si>
  <si>
    <t>[88]</t>
  </si>
  <si>
    <t>Exemplet på flik Exempel AvlidenPåIVA2020 är ändrat</t>
  </si>
  <si>
    <t>[89]</t>
  </si>
  <si>
    <t>Exemplet på flik Exempel AvlidenPåIVA2024 är ändrat</t>
  </si>
  <si>
    <t>[90]</t>
  </si>
  <si>
    <t>[91]</t>
  </si>
  <si>
    <t>[92]</t>
  </si>
  <si>
    <t>[93]</t>
  </si>
  <si>
    <t>Beskrivningen är ändrad från 
'Postnummer är obligatoriskt och anges med fem siffror. För person bosatt utanför Sverige men inom EU anges 77777. För person bosatt utanför EU anges 88888. För okänt postnummer anges 99999.'
 till 
'Postnummer är obligatoriskt och anges med fem siffror. För person bosatt utanför Sverige men inom EU anges 77777. För person bosatt utanför EU anges 88888. För okänt postnummer anges 99999. (Kan ge fel om vårdtillfället är valideringsklart, annars varning.)'</t>
  </si>
  <si>
    <t>[94]</t>
  </si>
  <si>
    <t>Elementet 'ValideringsKlart' är tillagt</t>
  </si>
  <si>
    <t>[95]</t>
  </si>
  <si>
    <t>Beskrivningen är ändrad från 
''Ankomsttid' är obligatorisk from 2012-01-01 för vårdtyperna IVA, TIVA och BIVA.'
 till 
''Ankomsttid' är obligatorisk from 2012-01-01 för vårdtyperna IVA, TIVA och BIVA. (Kan ge fel om vårdtillfället är valideringsklart, annars varning)'</t>
  </si>
  <si>
    <t>[96]</t>
  </si>
  <si>
    <t>Beskrivningen är ändrad från 
'Opereradtid ska vara obligatoriskt då Opererad inte besvarats med 'Nej' för intensivvårdstillfällen inskrivna i perioden 2010-01-01 - 2013-01-01'
 till 
'Opereradtid ska vara obligatoriskt då Opererad inte besvarats med 'Nej' för intensivvårdstillfällen inskrivna i perioden 2010-01-01 - 2013-01-01 (Utvärderas endast om vårdtillfället är valideringsklart)'</t>
  </si>
  <si>
    <t>[97]</t>
  </si>
  <si>
    <t>Beskrivningen är ändrad från 
''AvlidenTid' måste anges när vårdresultat är 'Avliden' och vårdtillfället har en utskrivningstid'
 till 
''AvlidenTid' måste anges när vårdresultat är 'Avliden' och vårdtillfället är valideringsklart (Utvärderas endast om vårdtillfället är valideringsklart)'</t>
  </si>
  <si>
    <t>[98]</t>
  </si>
  <si>
    <t>Beskrivningen är ändrad från 
'Intagningsorsaker ska inte rapporteras om man satt valideringsnivå till Aldrig om inte SAPS3 finns rapporterad'
 till 
'Intagningsorsaker ska inte rapporteras om man satt valideringsnivå till Aldrig om inte SAPS3 finns rapporterad (Utvärderas endast om vårdtillfället är valideringsklart)'</t>
  </si>
  <si>
    <t>[99]</t>
  </si>
  <si>
    <t>Beskrivningen är ändrad från 
'Då utskrivningstid finns måste 'Utskriven till' och 'Vårdresultat' vara angivna.'
 till 
'Då vårdtillfället är valideringsklart måste 'Utskriven till' och 'Vårdresultat' vara angivna. (Utvärderas endast om vårdtillfället är valideringsklart)'</t>
  </si>
  <si>
    <t>[100]</t>
  </si>
  <si>
    <t>Beskrivningen är ändrad från 
'Alla intagningsorsaker får ej anges som 'Inget' om 'Endast observation' är 'Nej''
 till 
'Alla intagningsorsaker får ej anges som 'Inget' om 'Endast observation' är 'Nej' (Utvärderas endast om vårdtillfället är valideringsklart)'</t>
  </si>
  <si>
    <t>[101]</t>
  </si>
  <si>
    <t>Valideringsregel 3.22 är tillagd</t>
  </si>
  <si>
    <t>[102]</t>
  </si>
  <si>
    <t>Beskrivningen är ändrad från 
'Validerar om Opererad är besvarad korrekt'
 till 
'Validerar om Opererad är besvarad korrekt (Kan ge fel om vårdtillfället är valideringsklart, annars varning.)'</t>
  </si>
  <si>
    <t>[103]</t>
  </si>
  <si>
    <t>Beskrivningen är ändrad från 
'Intagningsorsak enligt APACHE III ska vara '4:1' - '4:18' då vårdtillfället är utskrivet. Kan anges som 'Ej kodad' eller utelämnas om vårdtillfället inte är utskrivet.'
 till 
'Intagningsorsak enligt APACHE III ska vara '4:1' - '4:18' då vårdtillfället är utskrivet. Kan anges som 'Ej kodad' eller utelämnas om vårdtillfället inte är utskrivet. (Intagningsorsak krävs om vårdtillfället är valideringsklart)'</t>
  </si>
  <si>
    <t>[104]</t>
  </si>
  <si>
    <t>Beskrivningen är ändrad från 
'Om registreringsnivå för Clinical Frailty Scale är 'Alltid' så skall bortfallsorsak anges om ingen bedömning gjorts.'
 till 
'Om registreringsnivå för Clinical Frailty Scale är 'Alltid' så skall bortfallsorsak anges om ingen bedömning gjorts. (Kan ge fel om vårdtillfället är valideringsklart, annars varning)'</t>
  </si>
  <si>
    <t>[105]</t>
  </si>
  <si>
    <t>Beskrivningen är ändrad från 
'Datum på formatet ”åååå-mm-dd”. Obligatoriskt'
 till 
'Datumet som avses är startdatumet för den dygnsperiod man registrerar. Det innebär att det är datumet före det datum man registrerar. Detta i analogi med tidigare SOFA-registrering.
Datum på formatet ”åååå-mm-dd”.'</t>
  </si>
  <si>
    <t>[106]</t>
  </si>
  <si>
    <t>[107]</t>
  </si>
  <si>
    <t>Beskrivningen är ändrad från 
'Beräknar antal förväntade Dagliga SOFA registreringar och jämför med de befintliga'
 till 
'Beräknar antal förväntade Dagliga SOFA registreringar och jämför med de befintliga (Utvärderas endast om vårdtillfället är valideringsklart)'</t>
  </si>
  <si>
    <t>[108]</t>
  </si>
  <si>
    <t>Beskrivningen är ändrad från 
'Validerar så att SK-000 finns angiven då inga andra Negativa händelser komplikationer finns rapporterade. Får ej kombineras med någon annan kod, med undantag för SK-999'
 till 
'Validerar så att SK-000 finns angiven då inga andra Negativa händelser komplikationer finns rapporterade. Får ej kombineras med någon annan kod, med undantag för SK-999 (Utvärderas endast om vårdtillfället är valideringsklart)'</t>
  </si>
  <si>
    <t>[109]</t>
  </si>
  <si>
    <t>Beskrivningen är ändrad från 
'Om man har rapporterat SK-020 och har inställt att IVB Alltid rapporteras, måste en IVB på minst 48 timmar vara registrerad och denna måste ha infallit minst 24 timmar före komplikationen'
 till 
'Om man har rapporterat SK-020 och har inställt att IVB Alltid rapporteras, måste en IVB på minst 48 timmar vara registrerad och denna måste ha infallit minst 24 timmar före komplikationen (Utvärderas endast om vårdtillfället är valideringsklart)'</t>
  </si>
  <si>
    <t>[110]</t>
  </si>
  <si>
    <t>Beskrivningen är ändrad från 
'Om man har rapporterat SK-050 så förväntas någon av åtgärderna CVK (även bruk av befintlig), Dialyskateter, PA-kateter eller navelkateter finnas registrerad före komplikationens inträffande. Valideringsnivå 'Alltid' krävs för åtgärderna ska vara kvalificerande'
 till 
'Om man har rapporterat SK-050 så förväntas någon av åtgärderna CVK (även bruk av befintlig), Dialyskateter, PA-kateter eller navelkateter finnas registrerad före komplikationens inträffande. Valideringsnivå 'Alltid' krävs för åtgärderna ska vara kvalificerande (Utvärderas endast om vårdtillfället är valideringsklart)'</t>
  </si>
  <si>
    <t>[111]</t>
  </si>
  <si>
    <t>Beskrivningen är ändrad från 
'Om man har rapporterat SK-060 så förväntas någon av åtgärderna för thoraxdränage (GAA10, TGA35) finnas registrerad. Villkoret är att åtgärderna har valideringsnivå 'Alltid''
 till 
'Om man har rapporterat SK-060 så förväntas någon av åtgärderna för thoraxdränage (GAA10, TGA35) finnas registrerad. Villkoret är att åtgärderna har valideringsnivå 'Alltid' (Utvärderas endast om vårdtillfället är valideringsklart)'</t>
  </si>
  <si>
    <t>[112]</t>
  </si>
  <si>
    <t>Beskrivningen är ändrad från 
'Validerar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till 
'Validerar VTS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</si>
  <si>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[113]</t>
  </si>
  <si>
    <t>Beskrivningen är ändrad från 
'Validerar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till 
'Validerar VTS2014 pass-registrering:
	Minst ett pass måste finnas
	Första passet ska finnas. Ska ge fel om valideringsnivå Alltid används, annars varning. 
	Sista passet ska finnas. Ska ge fel om valideringsnivå Alltid används, annars varning. 
	Om ett pass saknas så får man en varning
	Om mer än tre pass i rad saknas får man ett fel
(Utvärderas endast om vårdtillfället är valideringsklart)'</t>
  </si>
  <si>
    <t>[114]</t>
  </si>
  <si>
    <t>Beskrivningen är ändrad från 
'Validerar pass'
 till 
'Validerar så att NEMS-pass finns (Utvärderas endast om vårdtillfället är valideringsklart)'</t>
  </si>
  <si>
    <t>[115]</t>
  </si>
  <si>
    <t>Beskrivningen är ändrad från 
'Kontrollerar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
 till 
'Kontrollerar så att sluttiden för åtgärder är korrekta.
	-Sluttiden får inte ligga före starttiden för åtgärden
	-Sluttiden får inte ligga efter utskrivningstiden för vårdtillfället
	-Sluttiden får inte ligga efter datumet för filuttaget (Skapad) om ej utskriven
	-Sluttid måste anges då vårdtillfället är utskrivet.
Sluttidtid är frivillig för KVÅ-koder som:
	-inte är en utvald SIR-diagnos
	-är inskickade via åtgärdsgruppen 'X'
	-har valideringstyp = Sporadisk. Ger då bara en varning
Men om sluttid anges i dessa fall så valideras den
(Om sluttid saknas så ges endast fel om vårdtillfället är valideringsklart)'</t>
  </si>
  <si>
    <t>[116]</t>
  </si>
  <si>
    <t>Beskrivningen är ändrad från 
'En av SIR diagnoserna ska vara huvudsaklig IVA-diagnos utvald från SIR:s fastslagna lista. (Gäller vårdtillfällen före 2018.)
Från och med 2018 ska en av IVA diagnoserna vara huvudsaklig enligt ICD:s regelverk. Under 2018 godkänns även huvudsakliga IVA-diagnoser från SIR:s lista.'
 till 
'En av SIR diagnoserna ska vara huvudsaklig IVA-diagnos utvald från SIR:s fastslagna lista. (Gäller vårdtillfällen före 2018.)
Från och med 2018 ska en av IVA diagnoserna vara huvudsaklig enligt ICD:s regelverk. Under 2018 godkänns även huvudsakliga IVA-diagnoser från SIR:s lista. (Utvärderas endast om vårdtillfället är valideringsklart)'</t>
  </si>
  <si>
    <t>[117]</t>
  </si>
  <si>
    <t>Beskrivningen är ändrad från 
'Datum  (Obligatoriskt om tidpunkt ej angivits)'
 till 
'Datum  (Obligatoriskt om ingen skattning gjordes)'</t>
  </si>
  <si>
    <t>[118]</t>
  </si>
  <si>
    <t>[119]</t>
  </si>
  <si>
    <t>Beskrivningen är ändrad från 
'Vårdpass (Obligatoriskt om tidpunkt ej angivits)'
 till 
'Vårdpass (Obligatoriskt om ingen skattning gjordes)'</t>
  </si>
  <si>
    <t>[120]</t>
  </si>
  <si>
    <t>[121]</t>
  </si>
  <si>
    <t>[122]</t>
  </si>
  <si>
    <t>[123]</t>
  </si>
  <si>
    <t>[124]</t>
  </si>
  <si>
    <t>[125]</t>
  </si>
  <si>
    <t>[126]</t>
  </si>
  <si>
    <t>[127]</t>
  </si>
  <si>
    <t>[128]</t>
  </si>
  <si>
    <t>Ändringshistorik i version 5.2 revision 25</t>
  </si>
  <si>
    <t>2024-06-13</t>
  </si>
  <si>
    <t>[34]</t>
  </si>
  <si>
    <t>[35]</t>
  </si>
  <si>
    <t>[36]</t>
  </si>
  <si>
    <t>Exempel.Exempel 4</t>
  </si>
  <si>
    <t>Exemplet 'Exempel 4' är borttaget</t>
  </si>
  <si>
    <t>[37]</t>
  </si>
  <si>
    <t>[38]</t>
  </si>
  <si>
    <t>[39]</t>
  </si>
  <si>
    <t>[40]</t>
  </si>
  <si>
    <t>[41]</t>
  </si>
  <si>
    <t>Valideringsregel 30.09 är tillagd</t>
  </si>
  <si>
    <t>[42]</t>
  </si>
  <si>
    <t>Beskrivningen är ändrad från 
''Kontakt med transplantationskoordinator' ska ej besvaras eftersom patienten är inte en möjlig donator'
 till 
''Nej patienten &lt;28 d korrigerad ålder' är inte ett giltigt svar eftersom patienten är äldre'</t>
  </si>
  <si>
    <t>[43]</t>
  </si>
  <si>
    <t>Beskrivningen är ändrad från 
''Varför togs inte kontakt med transplantationskoordinator?' ska inte besvaras eftersom kontakten med transplantationskoordinator har tagits'
 till 
''Kontakt med transplantationskoordinator' ska ej besvaras eftersom patienten inte är en möjlig donator'</t>
  </si>
  <si>
    <t>[44]</t>
  </si>
  <si>
    <t>Beskrivningen är ändrad från 
''Kontaktades polis' ska besvaras eftersom donationsviljan är utredd'
 till 
''Varför togs inte kontakt med transplantationskoordinator?' ska inte besvaras eftersom kontakten med transplantationskoordinator har tagits'</t>
  </si>
  <si>
    <t>[45]</t>
  </si>
  <si>
    <t>Beskrivningen är ändrad från 
''Hur lång tid från ankomst till IVA tills avbrytande av intensivvård' ska besvaras eftersom 'Möjlig donator' besvarats med 'Ja-DBD''
 till 
'Ej kontakt med transplantationskoordinator - Alternativet kan endast besvaras om möjlig donator besvarats med DBD'</t>
  </si>
  <si>
    <t>[46]</t>
  </si>
  <si>
    <t>Beskrivningen är ändrad från 
''Donations vilja ej utredd' ska inte besvaras eftersom 'Utreddes donationsviljan' besvarats med 'Ja''
 till 
'Ej kontakt med transplantationskoordinator - Alternativet kan endast besvaras om möjlig donator besvarats med DCD'</t>
  </si>
  <si>
    <t>[47]</t>
  </si>
  <si>
    <t>Beskrivningen är ändrad från 
''Utredning donations vilja' ska ej besvaras då kontakt med transplantationskoordinator ej taggits'
 till 
''Beslutsoförmögen' kan endast anges om den avlidne är 18 år eller äldre'</t>
  </si>
  <si>
    <t>[48]</t>
  </si>
  <si>
    <t>Valideringsregel 31.10 - ''Blev patienten en aktuell donator' ska besvaras' är borttagen</t>
  </si>
  <si>
    <t>[49]</t>
  </si>
  <si>
    <t>Valideringsregel 31.11 - ''Beslutsoförmögen' kan endast anges om den avlidne är 18 år eller äldre' är borttagen</t>
  </si>
  <si>
    <t>[50]</t>
  </si>
  <si>
    <t>Valideringsregel 31.12 - ''Beslutsoförmögen' kan endast anges om den avlidne är 18 år eller äldre' är borttagen</t>
  </si>
  <si>
    <t>[51]</t>
  </si>
  <si>
    <t>Valideringsregel 31.14 - ''Hjärnstamsinklämning utvecklades ej' kan ej väljas som huvudorsak till utebliven donation om direkta kriterier ej valda' är borttagen</t>
  </si>
  <si>
    <t>[52]</t>
  </si>
  <si>
    <t>Valideringsregel 31.15 - ''Närstående accepterar inte dödförklaring med direkta kriterier' kan ej väljas som huvudorsak till utebliven donation om direkta kriterier ej valda' är borttagen</t>
  </si>
  <si>
    <t>[53]</t>
  </si>
  <si>
    <t>Valideringsregel 31.16 - ''Bedömdes ej avlida inom tidsintervall för DCD' kan ej väljas som huvudorsak till utebliven donation om DCD brytpunktsbeslut ej taget' är borttagen</t>
  </si>
  <si>
    <t>[54]</t>
  </si>
  <si>
    <t>Valideringsregel 31.17 - ''Bedömdes avlida inom tidsintervall för DCD men gjorde inte det (Stand-down)' kan ej väljas som huvudorsak till utebliven donation om DCD brytpunktsbeslut ej taget' är borttagen</t>
  </si>
  <si>
    <t>[55]</t>
  </si>
  <si>
    <t>Valideringsregel 31.18 - ''Hur lång tid från ankomst till IVA tills avbrytande av intensivvård' ska besvaras eftersom patienten är dödförklarat med indirekta kriterier' är borttagen</t>
  </si>
  <si>
    <t>[56]</t>
  </si>
  <si>
    <t>Valideringsregel 31.19 - ''Hur lång tid från ankomst till IVA tills avbrytande av intensivvård' ska besvaras eftersom orsak till utebliven donation är 'Hjärnstamsinklämning utvecklades ej'' är borttagen</t>
  </si>
  <si>
    <t>[57]</t>
  </si>
  <si>
    <t>Beskrivningen är ändrad från 
''Hur lång tid från ankomst till IVA tills avbrytande av intensivvård' ska besvaras eftersom orsak till utebliven donation är 'Bedömdes ej avlida inom tidsintervall för DCD''
 till 
''Utredning donationsvilja' ska besvaras då kontakt med transplantationskoordinator tagits'</t>
  </si>
  <si>
    <t>[58]</t>
  </si>
  <si>
    <t>Beskrivningen är ändrad från 
''Hur lång tid från ankomst till IVA tills avbrytande av intensivvård' ska besvaras eftersom orsak till utebliven donation är 'Bedömdes avlida inom tidsintervall för DCD men gjorde inte det ''
 till 
''Inställning positiv', 'Inställning negativ' eller 'Okänd vilja' ska besvaras om donationsviljan är utredd för en möjlig donator'</t>
  </si>
  <si>
    <t>[59]</t>
  </si>
  <si>
    <t>Beskrivningen är ändrad från 
''Hur lång tid från ankomst till IVA tills avbrytande av intensivvård' ska besvaras eftersom 'Varför genomfördes inte DCD?' besvarats med 'Bedömdes ej avlida inom tidsintervall för DCD''
 till 
''Vårdnadshavare positiva till donation' kan bara väljas då patienten är under 18 år'</t>
  </si>
  <si>
    <t>[60]</t>
  </si>
  <si>
    <t>Beskrivningen är ändrad från 
''Hur lång tid från ankomst till IVA tills avbrytande av intensivvård' ska besvaras eftersom 'Varför genomfördes inte DCD?' besvarats med 'Bedömdes avlida inom tidsintervall för DCD men gjorde inte det (Stand-down)''
 till 
''Vårdnadshavare negativa till donation' kan bara väljas då patienten är under 18 år'</t>
  </si>
  <si>
    <t>[61]</t>
  </si>
  <si>
    <t>Beskrivningen är ändrad från 
''Mer än 4 timmar upp till 12 timmar' kan ej besvaras eftersom patienten är dödförklarad med indirekta kriterier'
 till 
'Positiv till donation - Flerval kan anges endast då man har Känd positiv vilja'</t>
  </si>
  <si>
    <t>[62]</t>
  </si>
  <si>
    <t>Beskrivningen är ändrad från 
''Mer än 12 timmar upp till 1 dygn' kan ej besvaras eftersom patienten är dödförklarad med indirekta kriterier'
 till 
'Negativ till donation - Flerval kan anges endast då man har Känd Negativ vilja'</t>
  </si>
  <si>
    <t>[63]</t>
  </si>
  <si>
    <t>Beskrivningen är ändrad från 
''Mer än 1 dygn upp till 2 dygn' kan ej besvaras eftersom patienten är dödförklarad med indirekta kriterier'
 till 
''Positiv till annat' ska anges då donationsviljan är 'Positiv till donation''</t>
  </si>
  <si>
    <t>[64]</t>
  </si>
  <si>
    <t>Beskrivningen är ändrad från 
''Framgår ej' kan ej besvaras eftersom patienten är dödförklarad med indirekta kriterier'
 till 
''Donationsvilja ej utredd' ska besvaras då donationsviljan ej utretts'</t>
  </si>
  <si>
    <t>[65]</t>
  </si>
  <si>
    <t>Beskrivningen är ändrad från 
''Inställning positiv', 'Inställning negativ' eller 'Okänd vilja' ska besvaras eftersom viljan är utredd'
 till 
'Ej utredd donationsvilja - Alternativet kan endast besvaras om möjlig donator besvarats med DBD'</t>
  </si>
  <si>
    <t>[66]</t>
  </si>
  <si>
    <t>Beskrivningen är ändrad från 
''Vårdnadshavare positiva till donation' kan väljas endast då patienten är under 18 år'
 till 
'Ej utredd donationsvilja - Alternativet kan endast besvaras om möjlig donator besvarats med DCD'</t>
  </si>
  <si>
    <t>[67]</t>
  </si>
  <si>
    <t>Beskrivningen är ändrad från 
''Vårdnadshavare negativa till donation' kan väljas endast då patienten är under 18 år'
 till 
'Ej utredd donationsvilja - 'Beslutsoförmögen' kan endast anges om den avlidne är 18 år eller äldre'</t>
  </si>
  <si>
    <t>[68]</t>
  </si>
  <si>
    <t>Valideringsregel 31.31 - ''Positiv till annat' kan väljas endast då utrednings viljan är 'Positiv till donation'' är borttagen</t>
  </si>
  <si>
    <t>[69]</t>
  </si>
  <si>
    <t>Valideringsregel 31.32 - ''Hjärnstamsinklämning utvecklades ej' kan ej väljas som huvudorsak till utebliven donationsutredning om direkta kriterier ej valda' är borttagen</t>
  </si>
  <si>
    <t>[70]</t>
  </si>
  <si>
    <t>Valideringsregel 31.33 - ''Bedömdes inte utveckla hjärnstamsinklämning och bedömdes heller inte avlida inom längsta tidsintervallet för DCD' kan ej väljas som huvudorsak till utebliven donationsutredning om direkta kriterier ej valda' är borttagen</t>
  </si>
  <si>
    <t>[71]</t>
  </si>
  <si>
    <t>Valideringsregel 31.34 - 'Antigen DBD eller DCD ska besvaras eftersom patienten blev aktuell organdonator' är borttagen</t>
  </si>
  <si>
    <t>[72]</t>
  </si>
  <si>
    <t>Valideringsregel 31.35 - ''Varför genomfördes inte DCD' ska besvaras' är borttagen</t>
  </si>
  <si>
    <t>[73]</t>
  </si>
  <si>
    <t>Valideringsregel 31.40 är tillagd</t>
  </si>
  <si>
    <t>[74]</t>
  </si>
  <si>
    <t>Valideringsregel 31.50 är tillagd</t>
  </si>
  <si>
    <t>[75]</t>
  </si>
  <si>
    <t>Valideringsregel 31.51 är tillagd</t>
  </si>
  <si>
    <t>[76]</t>
  </si>
  <si>
    <t>Valideringsregel 31.52 är tillagd</t>
  </si>
  <si>
    <t>[77]</t>
  </si>
  <si>
    <t>Valideringsregel 31.53 är tillagd</t>
  </si>
  <si>
    <t>[78]</t>
  </si>
  <si>
    <t>Valideringsregel 31.54 är tillagd</t>
  </si>
  <si>
    <t>[79]</t>
  </si>
  <si>
    <t>Valideringsregel 31.55 är tillagd</t>
  </si>
  <si>
    <t>[80]</t>
  </si>
  <si>
    <t>Valideringsregel 31.60 är tillagd</t>
  </si>
  <si>
    <t>[81]</t>
  </si>
  <si>
    <t>Valideringsregel 31.61 är tillagd</t>
  </si>
  <si>
    <t>[82]</t>
  </si>
  <si>
    <t>Valideringsregel 31.62 är tillagd</t>
  </si>
  <si>
    <t>[83]</t>
  </si>
  <si>
    <t>Valideringsregel 31.63 är tillagd</t>
  </si>
  <si>
    <t>[84]</t>
  </si>
  <si>
    <t>SIRData.Vårdtillfällen.OmvårdnadSmärta.Regel: '27.02'</t>
  </si>
  <si>
    <t>Beskrivningen är ändrad från 
'Omvårdnadsvariabel smärta, Datum och Vårdpass ska anges när skattning saknas'
 till 
'Omvårdnadsvariabel smärta, Tidpunkt ska anges när skattning gjordes'</t>
  </si>
  <si>
    <t>[85]</t>
  </si>
  <si>
    <t>Beskrivningen är ändrad från 
'Omvårdnadsvariabel smärta, Tidpunkt eller orsak till att smärtskattning ej gjorts måste anges'
 till 
'Omvårdnadsvariabel smärta, Datum, pass och orsak till att smärtskattning ej gjorts måste anges'</t>
  </si>
  <si>
    <t>Ändringshistorik i version 5.2 revision 24</t>
  </si>
  <si>
    <t>2023-12-21</t>
  </si>
  <si>
    <t>[20]</t>
  </si>
  <si>
    <t>[21]</t>
  </si>
  <si>
    <t>[22]</t>
  </si>
  <si>
    <t>[23]</t>
  </si>
  <si>
    <t>Ett nytt exempel 'Exempel AvlidenPåIVA2024' är tillagt</t>
  </si>
  <si>
    <t>[24]</t>
  </si>
  <si>
    <t>Ett nytt exempel 'Exempel Daglig SOFA' är tillagt</t>
  </si>
  <si>
    <t>[25]</t>
  </si>
  <si>
    <t>[26]</t>
  </si>
  <si>
    <t>Beskrivningen är ändrad från 
'Avliden på Iva 2020 kan bara rapporteras för de som avlidit efter 2020-01-01'
 till 
'Avliden på Iva 2020 kan bara rapporteras för de som avlidit fr.o.m 2020-01-01 t.o.m. 2023-12-31 '</t>
  </si>
  <si>
    <t>[27]</t>
  </si>
  <si>
    <t>[28]</t>
  </si>
  <si>
    <t>[29]</t>
  </si>
  <si>
    <t>[30]</t>
  </si>
  <si>
    <t>[31]</t>
  </si>
  <si>
    <t>Elementet 'DagligSOFA' är tillagt</t>
  </si>
  <si>
    <t>[32]</t>
  </si>
  <si>
    <t>Elementet 'Avliden2024' är tillagt</t>
  </si>
  <si>
    <t>[33]</t>
  </si>
  <si>
    <t>Beskrivningen är ändrad från 
'Passinställninar måste finnas i SIR om VTS eller NEMS rapporteras'
 till 
'Passinställninar måste finnas i SIR om VTS, NEMS, eller omvårdnadsvariabler ska rapporteras'</t>
  </si>
  <si>
    <t>Ändringshistorik i version 5.2 revision 23</t>
  </si>
  <si>
    <t>2023-03-14</t>
  </si>
  <si>
    <t>[15]</t>
  </si>
  <si>
    <t>Ett nytt exempel 'Exempel Omvårdnadsdokumentation' är tillagt</t>
  </si>
  <si>
    <t>[16]</t>
  </si>
  <si>
    <t>[17]</t>
  </si>
  <si>
    <t>Elementet 'OmvårdnadSmärta' är tillagt</t>
  </si>
  <si>
    <t>[18]</t>
  </si>
  <si>
    <t>Elementet 'OmvårdnadSedering' är tillagt</t>
  </si>
  <si>
    <t>[19]</t>
  </si>
  <si>
    <t>Elementet 'OmvårdnadDelirium' är tillagt</t>
  </si>
  <si>
    <t>Ändringshistorik i version 5.2 revision 22</t>
  </si>
  <si>
    <t>2022-10-06</t>
  </si>
  <si>
    <t>[1]</t>
  </si>
  <si>
    <t>[2]</t>
  </si>
  <si>
    <t>Valideringsregel 3.21 är tillagd</t>
  </si>
  <si>
    <t>[3]</t>
  </si>
  <si>
    <t>Beskrivningen på värdet 'KliniskOchAngio' är ändrad från 'Direkta kriterier (total hjärninfarkt), Klinisk neurologisk undersökning och fyrkärlsangiografi' till 'Direkta kriterier (total hjärninfarkt), Klinisk neurologisk undersökning och kompletterande bilddiagnostik'</t>
  </si>
  <si>
    <t>[4]</t>
  </si>
  <si>
    <t>Värdet 'LångvarigtBeslutsoförmögen' kan nu anges som ett giltigt värde</t>
  </si>
  <si>
    <t>[5]</t>
  </si>
  <si>
    <t>Värdet 'NärståendeInformerade' kan nu anges som ett giltigt värde</t>
  </si>
  <si>
    <t>[6]</t>
  </si>
  <si>
    <t>Värdet 'SenNegativDonationsvilja' kan nu anges som ett giltigt värde</t>
  </si>
  <si>
    <t>[7]</t>
  </si>
  <si>
    <t>[8]</t>
  </si>
  <si>
    <t>Värdet 'ÖvrigaSkäl' kan nu anges som ett giltigt värde</t>
  </si>
  <si>
    <t>[9]</t>
  </si>
  <si>
    <t>Elementet 'TolkadViljaOense' är tillagt</t>
  </si>
  <si>
    <t>[10]</t>
  </si>
  <si>
    <t>Beskrivningen är ändrad från 
''TolkadViljaPositiv' ska endast besvaras om donationsviljan var tolkad'
 till 
''TolkadViljaPositiv' eller 'TolkadViljaOense' ska besvaras då, och endast då, donationsviljan är tolkad'</t>
  </si>
  <si>
    <t>[11]</t>
  </si>
  <si>
    <t>Valideringsregel 26.30 är tillagd</t>
  </si>
  <si>
    <t>[12]</t>
  </si>
  <si>
    <t>Valideringsregel 26.31 är tillagd</t>
  </si>
  <si>
    <t>[13]</t>
  </si>
  <si>
    <t>Valideringsregel 26.32 är tillagd</t>
  </si>
  <si>
    <t>[14]</t>
  </si>
  <si>
    <t>Valideringsregel 26.33 är tillagd</t>
  </si>
  <si>
    <t>{</t>
  </si>
  <si>
    <t xml:space="preserve">  "FilTyp": "Intensivvårdsdata",</t>
  </si>
  <si>
    <t xml:space="preserve">  "Innehåll": {</t>
  </si>
  <si>
    <t xml:space="preserve">    "Version": "5.2",</t>
  </si>
  <si>
    <t xml:space="preserve">    "Avdelningsnamn": "AvdelningsNamnEnlSir",</t>
  </si>
  <si>
    <t xml:space="preserve">    "PeriodStart": "2024-01-01",</t>
  </si>
  <si>
    <t xml:space="preserve">    "PeriodSlut": "2024-02-28",</t>
  </si>
  <si>
    <t xml:space="preserve">    "Skapad": "2024-03-01"</t>
  </si>
  <si>
    <t xml:space="preserve">  },</t>
  </si>
  <si>
    <t xml:space="preserve">  "Vårdtillfällen": [</t>
  </si>
  <si>
    <t xml:space="preserve">    {</t>
  </si>
  <si>
    <t xml:space="preserve">      "Persondata": {</t>
  </si>
  <si>
    <t xml:space="preserve">        "PersonnummerTyp": "Korrekt",</t>
  </si>
  <si>
    <t xml:space="preserve">        "Personnummer": "19540102-XXXX",</t>
  </si>
  <si>
    <t xml:space="preserve">        "Kön": "M",</t>
  </si>
  <si>
    <t xml:space="preserve">        "Födelsedatum": "1954-01-02",</t>
  </si>
  <si>
    <t xml:space="preserve">        "Postnummer": 11111,</t>
  </si>
  <si>
    <t xml:space="preserve">        "Kommunkod": 9999</t>
  </si>
  <si>
    <t xml:space="preserve">      },</t>
  </si>
  <si>
    <t xml:space="preserve">      "Vårddata": {</t>
  </si>
  <si>
    <t xml:space="preserve">        "VårdtillfälletsStart": "2024-02-01T19:00:00",</t>
  </si>
  <si>
    <t xml:space="preserve">        "Ankomsttid": "2024-02-01T19:00:00",</t>
  </si>
  <si>
    <t xml:space="preserve">        "IdBegrepp": "IDBEGREPP999",</t>
  </si>
  <si>
    <t xml:space="preserve">        "Vårdtyp": "IVA",</t>
  </si>
  <si>
    <t xml:space="preserve">        "Ankomstväg": "Akutmottagning",</t>
  </si>
  <si>
    <t xml:space="preserve">        "Ankomstorsak": "Medicinsk",</t>
  </si>
  <si>
    <t xml:space="preserve">        "Akutinläggning": false,</t>
  </si>
  <si>
    <t xml:space="preserve">        "Opererad": "Nej",</t>
  </si>
  <si>
    <t xml:space="preserve">        "UtskrivenTill": "EjUtskriven",</t>
  </si>
  <si>
    <t xml:space="preserve">        "Vårdresultat": "EjUtskriven",</t>
  </si>
  <si>
    <t xml:space="preserve">        "Moderklinik": "Internmedicin",</t>
  </si>
  <si>
    <t xml:space="preserve">        "Intagningsorsaker": {</t>
  </si>
  <si>
    <t xml:space="preserve">          "EndastObservation": false,</t>
  </si>
  <si>
    <t xml:space="preserve">          "Neurologisk": "Ingen",</t>
  </si>
  <si>
    <t xml:space="preserve">          "Kardiovaskulär": "Ingen",</t>
  </si>
  <si>
    <t xml:space="preserve">          "Renal": "Ingen",</t>
  </si>
  <si>
    <t xml:space="preserve">          "Respiratorisk": "Ingen",</t>
  </si>
  <si>
    <t xml:space="preserve">          "Hepatisk": "Ingen",</t>
  </si>
  <si>
    <t xml:space="preserve">          "Hematologisk": "Blödningsrubbning",</t>
  </si>
  <si>
    <t xml:space="preserve">          "Metabol": "Ingen",</t>
  </si>
  <si>
    <t xml:space="preserve">          "Gastrointestinal": "Ingen",</t>
  </si>
  <si>
    <t xml:space="preserve">          "Trauma": "Ingen",</t>
  </si>
  <si>
    <t xml:space="preserve">          "Övrig": "Ingen"</t>
  </si>
  <si>
    <t xml:space="preserve">        }</t>
  </si>
  <si>
    <t xml:space="preserve">      "BehandlingsStrategi2013": [</t>
  </si>
  <si>
    <t xml:space="preserve">        {</t>
  </si>
  <si>
    <t xml:space="preserve">          "DokumenteratBeslut": "Behandlingsbegränsningar",</t>
  </si>
  <si>
    <t xml:space="preserve">          "BeslutTagetFöreIva": false,</t>
  </si>
  <si>
    <t xml:space="preserve">          "TidBeslut": "2024-02-03T21:15:00",</t>
  </si>
  <si>
    <t xml:space="preserve">          "Beslutsgrunder": "Autonomi",</t>
  </si>
  <si>
    <t xml:space="preserve">          "Samråd": "Närstående",</t>
  </si>
  <si>
    <t xml:space="preserve">          "Avstå": "Ingen",</t>
  </si>
  <si>
    <t xml:space="preserve">          "Avbryta": "InvasivVent"</t>
  </si>
  <si>
    <t xml:space="preserve">      ],</t>
  </si>
  <si>
    <t xml:space="preserve">      "SAPS3": {</t>
  </si>
  <si>
    <t xml:space="preserve">        "CancerTerapi": false,</t>
  </si>
  <si>
    <t xml:space="preserve">        "KroniskHjärtsvikt": false,</t>
  </si>
  <si>
    <t xml:space="preserve">        "Blodmalignitet": false,</t>
  </si>
  <si>
    <t xml:space="preserve">        "Cirrhos": true,</t>
  </si>
  <si>
    <t xml:space="preserve">        "AIDS": false,</t>
  </si>
  <si>
    <t xml:space="preserve">        "Cancer": false,</t>
  </si>
  <si>
    <t xml:space="preserve">        "TidPåSjukhus": 2,</t>
  </si>
  <si>
    <t xml:space="preserve">        "Vårdplats": "Akutmottagning",</t>
  </si>
  <si>
    <t xml:space="preserve">        "Terapi": "Nej",</t>
  </si>
  <si>
    <t xml:space="preserve">        "Operationstyp": "Ingen",</t>
  </si>
  <si>
    <t xml:space="preserve">        "AkutInfNosokomial": false,</t>
  </si>
  <si>
    <t xml:space="preserve">        "AkutInfDjupLuftväg": false,</t>
  </si>
  <si>
    <t xml:space="preserve">        "GCSÖgon": "3",</t>
  </si>
  <si>
    <t xml:space="preserve">        "GCSVerbal": "2",</t>
  </si>
  <si>
    <t xml:space="preserve">        "GCSMotorik": "6",</t>
  </si>
  <si>
    <t xml:space="preserve">        "RLS85": "4",</t>
  </si>
  <si>
    <t xml:space="preserve">        "Bilirubin": 800,</t>
  </si>
  <si>
    <t xml:space="preserve">        "Kroppstemperatur": 36.5,</t>
  </si>
  <si>
    <t xml:space="preserve">        "Kreatinin": 1500,</t>
  </si>
  <si>
    <t xml:space="preserve">        "Hjärtfrekvens": 150,</t>
  </si>
  <si>
    <t xml:space="preserve">        "BLeukocyter": 506,</t>
  </si>
  <si>
    <t xml:space="preserve">        "aBpH": 6.2,</t>
  </si>
  <si>
    <t xml:space="preserve">        "BTrombocyt": 2000,</t>
  </si>
  <si>
    <t xml:space="preserve">        "SystolisktTryck": 200,</t>
  </si>
  <si>
    <t xml:space="preserve">        "FiO2": 80,</t>
  </si>
  <si>
    <t xml:space="preserve">        "PaO2": 160,</t>
  </si>
  <si>
    <t xml:space="preserve">        "Ventilation": false</t>
  </si>
  <si>
    <t xml:space="preserve">      "SOFAData": {</t>
  </si>
  <si>
    <t xml:space="preserve">        "Version": "2",</t>
  </si>
  <si>
    <t xml:space="preserve">        "SOFAs": [</t>
  </si>
  <si>
    <t xml:space="preserve">          {</t>
  </si>
  <si>
    <t xml:space="preserve">            "Typ": "Intagning",</t>
  </si>
  <si>
    <t xml:space="preserve">            "Status": "Fullständig",</t>
  </si>
  <si>
    <t xml:space="preserve">            "FiO2": 80,</t>
  </si>
  <si>
    <t xml:space="preserve">            "PaO2": 160,</t>
  </si>
  <si>
    <t xml:space="preserve">            "Oxygeneringsindex": 700,</t>
  </si>
  <si>
    <t xml:space="preserve">            "BTrombocyter": 2000,</t>
  </si>
  <si>
    <t xml:space="preserve">            "Bilirubin": 800,</t>
  </si>
  <si>
    <t xml:space="preserve">            "MAP": 200,</t>
  </si>
  <si>
    <t xml:space="preserve">            "Dopamin": "Nej",</t>
  </si>
  <si>
    <t xml:space="preserve">            "Noradrenalin": "Nej",</t>
  </si>
  <si>
    <t xml:space="preserve">            "Adrenalin": "Nej",</t>
  </si>
  <si>
    <t xml:space="preserve">            "Dobutamin": true,</t>
  </si>
  <si>
    <t xml:space="preserve">            "Levosimendan": false,</t>
  </si>
  <si>
    <t xml:space="preserve">            "Vasopressin": false,</t>
  </si>
  <si>
    <t xml:space="preserve">            "GCSÖgon": "3",</t>
  </si>
  <si>
    <t xml:space="preserve">            "GCSVerbal": "2",</t>
  </si>
  <si>
    <t xml:space="preserve">            "GCSMotorik": "6",</t>
  </si>
  <si>
    <t xml:space="preserve">            "RLS85": "4",</t>
  </si>
  <si>
    <t xml:space="preserve">            "Kreatinin": 1500,</t>
  </si>
  <si>
    <t xml:space="preserve">            "Diures": 20000</t>
  </si>
  <si>
    <t xml:space="preserve">          },</t>
  </si>
  <si>
    <t xml:space="preserve">            "Typ": "Utskrivning",</t>
  </si>
  <si>
    <t xml:space="preserve">            "GCSÖgon": "4",</t>
  </si>
  <si>
    <t xml:space="preserve">            "GCSVerbal": "5",</t>
  </si>
  <si>
    <t xml:space="preserve">            "RLS85": "1",</t>
  </si>
  <si>
    <t xml:space="preserve">          }</t>
  </si>
  <si>
    <t xml:space="preserve">        ]</t>
  </si>
  <si>
    <t xml:space="preserve">      "Viktochlängd": {</t>
  </si>
  <si>
    <t xml:space="preserve">        "Längd": 1.83,</t>
  </si>
  <si>
    <t xml:space="preserve">        "PreIVAVikt": 82,</t>
  </si>
  <si>
    <t xml:space="preserve">        "AnkomstIVAVikt": 80,</t>
  </si>
  <si>
    <t xml:space="preserve">        "DagligaVikter": [</t>
  </si>
  <si>
    <t xml:space="preserve">            "Datum": "2024-02-01T00:00:00",</t>
  </si>
  <si>
    <t xml:space="preserve">            "Vikt": 80</t>
  </si>
  <si>
    <t xml:space="preserve">            "Datum": "2024-02-02T00:00:00",</t>
  </si>
  <si>
    <t xml:space="preserve">            "Vikt": 79</t>
  </si>
  <si>
    <t xml:space="preserve">      "Komplikationer2012": [</t>
  </si>
  <si>
    <t xml:space="preserve">          "Kod": "SK-000",</t>
  </si>
  <si>
    <t xml:space="preserve">          "Datum": "2024-02-03T00:00:00"</t>
  </si>
  <si>
    <t xml:space="preserve">      "VTS2014": [</t>
  </si>
  <si>
    <t xml:space="preserve">          "Datum": "2024-02-01",</t>
  </si>
  <si>
    <t xml:space="preserve">          "Pass": "Natt",</t>
  </si>
  <si>
    <t xml:space="preserve">          "Indikator1": 2,</t>
  </si>
  <si>
    <t xml:space="preserve">          "Indikator2": 1,</t>
  </si>
  <si>
    <t xml:space="preserve">          "Indikator3": 1,</t>
  </si>
  <si>
    <t xml:space="preserve">          "Indikator4": 0,</t>
  </si>
  <si>
    <t xml:space="preserve">          "Indikator4Ext": 0,</t>
  </si>
  <si>
    <t xml:space="preserve">          "Indikator5": 0,</t>
  </si>
  <si>
    <t xml:space="preserve">          "Indikator6": 0,</t>
  </si>
  <si>
    <t xml:space="preserve">          "Indikator7": 1,</t>
  </si>
  <si>
    <t xml:space="preserve">          "Indikator8": 2,</t>
  </si>
  <si>
    <t xml:space="preserve">          "Indikator9": 1,</t>
  </si>
  <si>
    <t xml:space="preserve">          "Indikator9Ext": 1,</t>
  </si>
  <si>
    <t xml:space="preserve">          "Indikator10": 0,</t>
  </si>
  <si>
    <t xml:space="preserve">          "Indikator11": 1</t>
  </si>
  <si>
    <t xml:space="preserve">        },</t>
  </si>
  <si>
    <t xml:space="preserve">          "Datum": "2024-02-02",</t>
  </si>
  <si>
    <t xml:space="preserve">          "Pass": "Morgon",</t>
  </si>
  <si>
    <t xml:space="preserve">      "NEMS": [</t>
  </si>
  <si>
    <t xml:space="preserve">          "Monitorering": true,</t>
  </si>
  <si>
    <t xml:space="preserve">          "IntravenösMedicinering": false,</t>
  </si>
  <si>
    <t xml:space="preserve">          "Andningsvård": false,</t>
  </si>
  <si>
    <t xml:space="preserve">          "Andningsstöd": false,</t>
  </si>
  <si>
    <t xml:space="preserve">          "EnVasoaktivDrog": true,</t>
  </si>
  <si>
    <t xml:space="preserve">          "MultiplaVasoaktivaLäkemedel": false,</t>
  </si>
  <si>
    <t xml:space="preserve">          "Dialys": false,</t>
  </si>
  <si>
    <t xml:space="preserve">          "SärskildaÅtgärder": false,</t>
  </si>
  <si>
    <t xml:space="preserve">          "ÅtgärdUtanförIVA": false</t>
  </si>
  <si>
    <t xml:space="preserve">          "IntravenösMedicinering": true,</t>
  </si>
  <si>
    <t xml:space="preserve">      "Åtgärder": [</t>
  </si>
  <si>
    <t xml:space="preserve">          "StartDatumTid": "2024-02-02T09:19:00",</t>
  </si>
  <si>
    <t xml:space="preserve">          "SlutDatumTid": "2024-02-02T09:20:00",</t>
  </si>
  <si>
    <t xml:space="preserve">          "Kod": "AA053"</t>
  </si>
  <si>
    <t xml:space="preserve">      "Diagnoser": [</t>
  </si>
  <si>
    <t xml:space="preserve">          "PrimärDiagnos": true,</t>
  </si>
  <si>
    <t xml:space="preserve">          "ICD10Kod": "G359"</t>
  </si>
  <si>
    <t xml:space="preserve">      "Sederingsmål": [</t>
  </si>
  <si>
    <t xml:space="preserve">          "Pass": "Kväll",</t>
  </si>
  <si>
    <t xml:space="preserve">          "HarInvasivVentilatorbehandling": true,</t>
  </si>
  <si>
    <t xml:space="preserve">          "AnvändsSederingsskala": true,</t>
  </si>
  <si>
    <t xml:space="preserve">          "DokumenteratSederingsmål": true,</t>
  </si>
  <si>
    <t xml:space="preserve">          "MotsvararMålet": "EjTillämpbart"</t>
  </si>
  <si>
    <t xml:space="preserve">      ]</t>
  </si>
  <si>
    <t xml:space="preserve">    }</t>
  </si>
  <si>
    <t xml:space="preserve">  ]</t>
  </si>
  <si>
    <t>}</t>
  </si>
  <si>
    <t xml:space="preserve">    "PeriodStart": "2024-01-23",</t>
  </si>
  <si>
    <t xml:space="preserve">    "PeriodSlut": "2024-01-28",</t>
  </si>
  <si>
    <t xml:space="preserve">    "Skapad": "2024-01-28"</t>
  </si>
  <si>
    <t xml:space="preserve">        "Personnummer": "19500128-XXXX",</t>
  </si>
  <si>
    <t xml:space="preserve">        "Kön": "K",</t>
  </si>
  <si>
    <t xml:space="preserve">        "Födelsedatum": "1950-01-28",</t>
  </si>
  <si>
    <t xml:space="preserve">        "VårdtillfälletsStart": "2024-01-23T07:00:00",</t>
  </si>
  <si>
    <t xml:space="preserve">        "Ankomsttid": "2024-01-23T07:40:00",</t>
  </si>
  <si>
    <t xml:space="preserve">        "Utskrivningstid": "2024-01-24T22:30:00",</t>
  </si>
  <si>
    <t xml:space="preserve">        "ValideringsKlart": true,</t>
  </si>
  <si>
    <t xml:space="preserve">        "IdBegrepp": "IDBEGREPP998",</t>
  </si>
  <si>
    <t xml:space="preserve">        "Akutinläggning": true,</t>
  </si>
  <si>
    <t xml:space="preserve">        "UtskrivenTill": "Avliden",</t>
  </si>
  <si>
    <t xml:space="preserve">        "Vårdresultat": "Avliden",</t>
  </si>
  <si>
    <t xml:space="preserve">        "AvlidenTid": "2024-01-23T17:27:00",</t>
  </si>
  <si>
    <t xml:space="preserve">          "Neurologisk": "Medvetandestörning",</t>
  </si>
  <si>
    <t xml:space="preserve">          "Hematologisk": "Ingen",</t>
  </si>
  <si>
    <t xml:space="preserve">          "Metabol": "SyraBasAltElektrolytrubbning",</t>
  </si>
  <si>
    <t xml:space="preserve">          "TidBeslut": "2024-01-23T08:00:00",</t>
  </si>
  <si>
    <t xml:space="preserve">          "Beslutsgrunder": "Akuta, Kroniska",</t>
  </si>
  <si>
    <t xml:space="preserve">          "Samråd": "Legitimerad",</t>
  </si>
  <si>
    <t xml:space="preserve">          "Avstå": "Njurersättningsterapi, HjärtLungRäddning",</t>
  </si>
  <si>
    <t xml:space="preserve">          "Avbryta": "Ingen"</t>
  </si>
  <si>
    <t xml:space="preserve">        "TidPåSjukhus": 0,</t>
  </si>
  <si>
    <t xml:space="preserve">        "RLS85": "8",</t>
  </si>
  <si>
    <t xml:space="preserve">        "Bilirubin": 4,</t>
  </si>
  <si>
    <t xml:space="preserve">        "Kroppstemperatur": 36.0,</t>
  </si>
  <si>
    <t xml:space="preserve">        "Kreatinin": 98,</t>
  </si>
  <si>
    <t xml:space="preserve">        "Hjärtfrekvens": 59,</t>
  </si>
  <si>
    <t xml:space="preserve">        "BLeukocyter": 15.8,</t>
  </si>
  <si>
    <t xml:space="preserve">        "aBpH": 7.37,</t>
  </si>
  <si>
    <t xml:space="preserve">        "BTrombocyt": 305,</t>
  </si>
  <si>
    <t xml:space="preserve">        "SystolisktTryck": 150,</t>
  </si>
  <si>
    <t xml:space="preserve">        "FiO2": 60,</t>
  </si>
  <si>
    <t xml:space="preserve">        "PaO2": 14,</t>
  </si>
  <si>
    <t xml:space="preserve">      "ClinicalFrailtyScale": {</t>
  </si>
  <si>
    <t xml:space="preserve">        "Bedömning": "3"</t>
  </si>
  <si>
    <t xml:space="preserve">            "Oxygeneringsindex": 23,</t>
  </si>
  <si>
    <t xml:space="preserve">            "BTrombocyter": 305,</t>
  </si>
  <si>
    <t xml:space="preserve">            "Bilirubin": 4,</t>
  </si>
  <si>
    <t xml:space="preserve">            "MAP": 90,</t>
  </si>
  <si>
    <t xml:space="preserve">            "Dobutamin": false,</t>
  </si>
  <si>
    <t xml:space="preserve">            "RLS85": "8",</t>
  </si>
  <si>
    <t xml:space="preserve">            "Kreatinin": 98,</t>
  </si>
  <si>
    <t xml:space="preserve">            "Diures": 300</t>
  </si>
  <si>
    <t xml:space="preserve">            "Typ": "Daglig",</t>
  </si>
  <si>
    <t xml:space="preserve">            "Datum": "2024-01-23T00:00:00",</t>
  </si>
  <si>
    <t xml:space="preserve">            "Oxygeneringsindex": 18,</t>
  </si>
  <si>
    <t xml:space="preserve">            "BTrombocyter": 278,</t>
  </si>
  <si>
    <t xml:space="preserve">            "Bilirubin": 6,</t>
  </si>
  <si>
    <t xml:space="preserve">            "MAP": 65,</t>
  </si>
  <si>
    <t xml:space="preserve">            "Noradrenalin": "Nivå1",</t>
  </si>
  <si>
    <t xml:space="preserve">            "Kreatinin": 102,</t>
  </si>
  <si>
    <t xml:space="preserve">            "Diures": 3000</t>
  </si>
  <si>
    <t xml:space="preserve">            "Status": "MedicinskIndikationSaknas"</t>
  </si>
  <si>
    <t xml:space="preserve">      "Avliden2024": {</t>
  </si>
  <si>
    <t xml:space="preserve">        "DokumenteratBrytpunktsbeslut": true,</t>
  </si>
  <si>
    <t xml:space="preserve">        "MöjligDonator": "Ja-DCD",</t>
  </si>
  <si>
    <t xml:space="preserve">        "KontaktMedTransplantationskoordinator": true,</t>
  </si>
  <si>
    <t xml:space="preserve">        "UtredningDonationsVilja": true,</t>
  </si>
  <si>
    <t xml:space="preserve">        "InställningPositiv": "DonReg",</t>
  </si>
  <si>
    <t xml:space="preserve">        "InställningPositivTillAnnat": "VetEj",</t>
  </si>
  <si>
    <t xml:space="preserve">        "KontaktMedPolisen": "Nej",</t>
  </si>
  <si>
    <t xml:space="preserve">        "AktuellOrgandonator": true,</t>
  </si>
  <si>
    <t xml:space="preserve">        "DCD": "EjUtvecklatHjärnstamsinklämning",</t>
  </si>
  <si>
    <t xml:space="preserve">        "AccepteratTidsintervall": "60",</t>
  </si>
  <si>
    <t xml:space="preserve">        "FaktisktTidsintervall": "-30",</t>
  </si>
  <si>
    <t xml:space="preserve">        "Granskad": true</t>
  </si>
  <si>
    <t xml:space="preserve">          "Datum": "2024-01-24T00:00:00"</t>
  </si>
  <si>
    <t xml:space="preserve">          "Datum": "2024-01-23",</t>
  </si>
  <si>
    <t xml:space="preserve">          "Indikator2": 0,</t>
  </si>
  <si>
    <t xml:space="preserve">          "Indikator3": 2,</t>
  </si>
  <si>
    <t xml:space="preserve">          "Indikator4": 1,</t>
  </si>
  <si>
    <t xml:space="preserve">          "Indikator5": 1,</t>
  </si>
  <si>
    <t xml:space="preserve">          "Indikator6": 1,</t>
  </si>
  <si>
    <t xml:space="preserve">          "Indikator7": 2,</t>
  </si>
  <si>
    <t xml:space="preserve">          "Indikator9": 2,</t>
  </si>
  <si>
    <t xml:space="preserve">          "Indikator9Ext": 0,</t>
  </si>
  <si>
    <t xml:space="preserve">          "Indikator10": 2,</t>
  </si>
  <si>
    <t xml:space="preserve">          "Indikator7": 3,</t>
  </si>
  <si>
    <t xml:space="preserve">          "Indikator8": 3,</t>
  </si>
  <si>
    <t xml:space="preserve">          "Indikator11": 2</t>
  </si>
  <si>
    <t xml:space="preserve">          "Indikator10": 1,</t>
  </si>
  <si>
    <t xml:space="preserve">          "Datum": "2024-01-24",</t>
  </si>
  <si>
    <t xml:space="preserve">          "Indikator1": 0,</t>
  </si>
  <si>
    <t xml:space="preserve">          "Indikator3": 0,</t>
  </si>
  <si>
    <t xml:space="preserve">          "Indikator7": 0,</t>
  </si>
  <si>
    <t xml:space="preserve">          "Indikator8": 1,</t>
  </si>
  <si>
    <t xml:space="preserve">          "Indikator9": 0,</t>
  </si>
  <si>
    <t xml:space="preserve">          "Indikator8": 0,</t>
  </si>
  <si>
    <t xml:space="preserve">          "StartDatumTid": "2024-01-23T07:10:00",</t>
  </si>
  <si>
    <t xml:space="preserve">          "Kod": "AP051"</t>
  </si>
  <si>
    <t xml:space="preserve">          "StartDatumTid": "2024-01-23T15:30:00",</t>
  </si>
  <si>
    <t xml:space="preserve">          "SlutDatumTid": "2024-01-24T17:00:00",</t>
  </si>
  <si>
    <t xml:space="preserve">          "Grupp": "B",</t>
  </si>
  <si>
    <t xml:space="preserve">          "Kod": "SP299"</t>
  </si>
  <si>
    <t xml:space="preserve">          "StartDatumTid": "2024-01-23T19:00:00",</t>
  </si>
  <si>
    <t xml:space="preserve">          "Kod": "AJ004"</t>
  </si>
  <si>
    <t xml:space="preserve">          "StartDatumTid": "2024-01-23T07:00:00",</t>
  </si>
  <si>
    <t xml:space="preserve">          "SlutDatumTid": "2024-01-24T16:15:00",</t>
  </si>
  <si>
    <t xml:space="preserve">          "Grupp": "A",</t>
  </si>
  <si>
    <t xml:space="preserve">          "Kod": "DG021"</t>
  </si>
  <si>
    <t xml:space="preserve">          "StartDatumTid": "2024-01-23T17:30:00",</t>
  </si>
  <si>
    <t xml:space="preserve">          "SlutDatumTid": "2024-01-24T20:00:00",</t>
  </si>
  <si>
    <t xml:space="preserve">          "Grupp": "G",</t>
  </si>
  <si>
    <t xml:space="preserve">          "Kod": "XV013"</t>
  </si>
  <si>
    <t xml:space="preserve">          "ICD10Kod": "I629"</t>
  </si>
  <si>
    <t xml:space="preserve">          "PrimärDiagnos": false,</t>
  </si>
  <si>
    <t xml:space="preserve">          "ICD10Kod": "I638"</t>
  </si>
  <si>
    <t xml:space="preserve">          "ICD10Kod": "Y442"</t>
  </si>
  <si>
    <t xml:space="preserve">    },</t>
  </si>
  <si>
    <t xml:space="preserve">        "PersonnummerTyp": "Reserv",</t>
  </si>
  <si>
    <t xml:space="preserve">        "Personnummer": "530422-XXXX",</t>
  </si>
  <si>
    <t xml:space="preserve">        "Födelsedatum": "1953-04-22",</t>
  </si>
  <si>
    <t xml:space="preserve">        "VårdtillfälletsStart": "2024-01-23T21:30:00",</t>
  </si>
  <si>
    <t xml:space="preserve">        "Ankomsttid": "2024-01-23T21:30:00",</t>
  </si>
  <si>
    <t xml:space="preserve">        "Utskrivningstid": "2024-01-28T21:50:00",</t>
  </si>
  <si>
    <t xml:space="preserve">        "Ankomstväg": "AnnanIVA",</t>
  </si>
  <si>
    <t xml:space="preserve">        "Ankomstorsak": "Hemmahörande",</t>
  </si>
  <si>
    <t xml:space="preserve">        "AvlidenTid": "2024-01-28T11:17:00",</t>
  </si>
  <si>
    <t xml:space="preserve">          "Kardiovaskulär": "Hjärtstopp",</t>
  </si>
  <si>
    <t xml:space="preserve">          "Respiratorisk": "Annan",</t>
  </si>
  <si>
    <t xml:space="preserve">          "DokumenteratBeslut": "Inga",</t>
  </si>
  <si>
    <t xml:space="preserve">          "TidBeslut": "2024-01-23T22:00:00"</t>
  </si>
  <si>
    <t xml:space="preserve">          "TidBeslut": "2024-01-27T20:25:00",</t>
  </si>
  <si>
    <t xml:space="preserve">          "Beslutsgrunder": "Akuta, Terapisvikt",</t>
  </si>
  <si>
    <t xml:space="preserve">          "Avstå": "HjärtLungRäddning",</t>
  </si>
  <si>
    <t xml:space="preserve">          "Avbryta": "Njurersättningsterapi"</t>
  </si>
  <si>
    <t xml:space="preserve">        "Cirrhos": false,</t>
  </si>
  <si>
    <t xml:space="preserve">        "Vårdplats": "AnnanIVA",</t>
  </si>
  <si>
    <t xml:space="preserve">        "Terapi": "VasoaktivaFarmaka",</t>
  </si>
  <si>
    <t xml:space="preserve">        "Bilirubin": 12,</t>
  </si>
  <si>
    <t xml:space="preserve">        "Kroppstemperatur": 37.5,</t>
  </si>
  <si>
    <t xml:space="preserve">        "Kreatinin": 137,</t>
  </si>
  <si>
    <t xml:space="preserve">        "Hjärtfrekvens": 100,</t>
  </si>
  <si>
    <t xml:space="preserve">        "BLeukocyter": 10.4,</t>
  </si>
  <si>
    <t xml:space="preserve">        "aBpH": 7.38,</t>
  </si>
  <si>
    <t xml:space="preserve">        "BTrombocyt": 172,</t>
  </si>
  <si>
    <t xml:space="preserve">        "SystolisktTryck": 90,</t>
  </si>
  <si>
    <t xml:space="preserve">        "FiO2": 30,</t>
  </si>
  <si>
    <t xml:space="preserve">        "PaO2": 10.9,</t>
  </si>
  <si>
    <t xml:space="preserve">        "Ventilation": true</t>
  </si>
  <si>
    <t xml:space="preserve">            "Oxygeneringsindex": 36,</t>
  </si>
  <si>
    <t xml:space="preserve">            "BTrombocyter": 172,</t>
  </si>
  <si>
    <t xml:space="preserve">            "Bilirubin": 12,</t>
  </si>
  <si>
    <t xml:space="preserve">            "Levosimendan": true,</t>
  </si>
  <si>
    <t xml:space="preserve">            "Kreatinin": 137,</t>
  </si>
  <si>
    <t xml:space="preserve">            "Diures": 200</t>
  </si>
  <si>
    <t xml:space="preserve">            "Oxygeneringsindex": 33,</t>
  </si>
  <si>
    <t xml:space="preserve">            "BTrombocyter": 161,</t>
  </si>
  <si>
    <t xml:space="preserve">            "Bilirubin": 13,</t>
  </si>
  <si>
    <t xml:space="preserve">            "Datum": "2024-01-24T00:00:00",</t>
  </si>
  <si>
    <t xml:space="preserve">            "Oxygeneringsindex": 13,</t>
  </si>
  <si>
    <t xml:space="preserve">            "Bilirubin": 11,</t>
  </si>
  <si>
    <t xml:space="preserve">            "Kreatinin": 94,</t>
  </si>
  <si>
    <t xml:space="preserve">            "Diures": 2200</t>
  </si>
  <si>
    <t xml:space="preserve">            "Datum": "2024-01-25T00:00:00",</t>
  </si>
  <si>
    <t xml:space="preserve">            "Oxygeneringsindex": 22,</t>
  </si>
  <si>
    <t xml:space="preserve">            "BTrombocyter": 175,</t>
  </si>
  <si>
    <t xml:space="preserve">            "MAP": 60,</t>
  </si>
  <si>
    <t xml:space="preserve">            "Kreatinin": 76,</t>
  </si>
  <si>
    <t xml:space="preserve">            "Datum": "2024-01-26T00:00:00",</t>
  </si>
  <si>
    <t xml:space="preserve">            "Oxygeneringsindex": 15,</t>
  </si>
  <si>
    <t xml:space="preserve">            "BTrombocyter": 216,</t>
  </si>
  <si>
    <t xml:space="preserve">            "Bilirubin": 10,</t>
  </si>
  <si>
    <t xml:space="preserve">            "Kreatinin": 84,</t>
  </si>
  <si>
    <t xml:space="preserve">            "Datum": "2024-01-27T00:00:00",</t>
  </si>
  <si>
    <t xml:space="preserve">            "Oxygeneringsindex": 17,</t>
  </si>
  <si>
    <t xml:space="preserve">            "BTrombocyter": 241,</t>
  </si>
  <si>
    <t xml:space="preserve">            "Kreatinin": 65,</t>
  </si>
  <si>
    <t xml:space="preserve">            "Diures": 2000</t>
  </si>
  <si>
    <t xml:space="preserve">            "Oxygeneringsindex": 39,</t>
  </si>
  <si>
    <t xml:space="preserve">            "MAP": 0,</t>
  </si>
  <si>
    <t xml:space="preserve">            "Diures": 0</t>
  </si>
  <si>
    <t xml:space="preserve">        "InställningPositiv": "Tolkad",</t>
  </si>
  <si>
    <t xml:space="preserve">        "DCD": "NärståendeAccepterarEjDirektaKriterier",</t>
  </si>
  <si>
    <t xml:space="preserve">        "AccepteratTidsintervall": "90",</t>
  </si>
  <si>
    <t xml:space="preserve">        "FaktisktTidsintervall": "4-12",</t>
  </si>
  <si>
    <t xml:space="preserve">          "Datum": "2024-01-28T21:50:00"</t>
  </si>
  <si>
    <t xml:space="preserve">          "Indikator6": 2,</t>
  </si>
  <si>
    <t xml:space="preserve">          "Indikator10": 3,</t>
  </si>
  <si>
    <t xml:space="preserve">          "Indikator9": 3,</t>
  </si>
  <si>
    <t xml:space="preserve">          "Indikator1": 1,</t>
  </si>
  <si>
    <t xml:space="preserve">          "Indikator6": 3,</t>
  </si>
  <si>
    <t xml:space="preserve">          "Datum": "2024-01-25",</t>
  </si>
  <si>
    <t xml:space="preserve">          "Datum": "2024-01-26",</t>
  </si>
  <si>
    <t xml:space="preserve">          "Indikator1": 3,</t>
  </si>
  <si>
    <t xml:space="preserve">          "Indikator3": 3,</t>
  </si>
  <si>
    <t xml:space="preserve">          "Datum": "2024-01-27",</t>
  </si>
  <si>
    <t xml:space="preserve">          "Datum": "2024-01-28",</t>
  </si>
  <si>
    <t xml:space="preserve">          "StartDatumTid": "2024-01-23T21:30:00",</t>
  </si>
  <si>
    <t xml:space="preserve">          "SlutDatumTid": "2024-01-28T12:00:00",</t>
  </si>
  <si>
    <t xml:space="preserve">          "Kod": "QD004"</t>
  </si>
  <si>
    <t xml:space="preserve">          "StartDatumTid": "2024-01-25T13:15:00",</t>
  </si>
  <si>
    <t xml:space="preserve">          "Grupp": "E",</t>
  </si>
  <si>
    <t xml:space="preserve">          "Kod": "AA021"</t>
  </si>
  <si>
    <t xml:space="preserve">          "StartDatumTid": "2024-01-27T18:30:00",</t>
  </si>
  <si>
    <t xml:space="preserve">          "Kod": "AA017"</t>
  </si>
  <si>
    <t xml:space="preserve">          "SlutDatumTid": "2024-01-28T11:00:00",</t>
  </si>
  <si>
    <t xml:space="preserve">          "ICD10Kod": "I469"</t>
  </si>
  <si>
    <t xml:space="preserve">          "ICD10Kod": "J690"</t>
  </si>
  <si>
    <t xml:space="preserve">          "ICD10Kod": "G936"</t>
  </si>
  <si>
    <t xml:space="preserve">          "ICD10Kod": "R402"</t>
  </si>
  <si>
    <t xml:space="preserve">    "PeriodStart": "2024-02-02",</t>
  </si>
  <si>
    <t xml:space="preserve">    "PeriodSlut": "2024-02-02",</t>
  </si>
  <si>
    <t xml:space="preserve">    "Skapad": "2024-02-03"</t>
  </si>
  <si>
    <t xml:space="preserve">        "Personnummer": "20030403-XXXX",</t>
  </si>
  <si>
    <t xml:space="preserve">        "Födelsedatum": "2003-04-03",</t>
  </si>
  <si>
    <t xml:space="preserve">        "Postnummer": 11111</t>
  </si>
  <si>
    <t xml:space="preserve">        "VårdtillfälletsStart": "2024-02-02T05:30:00",</t>
  </si>
  <si>
    <t xml:space="preserve">        "Ankomsttid": "2024-02-02T05:30:00",</t>
  </si>
  <si>
    <t xml:space="preserve">        "Utskrivningstid": "2024-02-02T12:00:00",</t>
  </si>
  <si>
    <t xml:space="preserve">        "Ankomstväg": "Vårdavdelning",</t>
  </si>
  <si>
    <t xml:space="preserve">        "UtskrivenTill": "Vårdavdelning",</t>
  </si>
  <si>
    <t xml:space="preserve">        "Vårdresultat": "Levande",</t>
  </si>
  <si>
    <t xml:space="preserve">        "Moderklinik": "Barnmedicin",</t>
  </si>
  <si>
    <t xml:space="preserve">          "Neurologisk": "Annan",</t>
  </si>
  <si>
    <t xml:space="preserve">          "TidBeslut": "2024-02-02T06:00:00"</t>
  </si>
  <si>
    <t xml:space="preserve">      "PIM3": {</t>
  </si>
  <si>
    <t xml:space="preserve">        "Elektivt": false,</t>
  </si>
  <si>
    <t xml:space="preserve">        "VarPostoperativVård": "4",</t>
  </si>
  <si>
    <t xml:space="preserve">        "MycketHögRisk": "0",</t>
  </si>
  <si>
    <t xml:space="preserve">        "HögRisk": "0",</t>
  </si>
  <si>
    <t xml:space="preserve">        "LågRisk": "0",</t>
  </si>
  <si>
    <t xml:space="preserve">        "LjusstelaPupiller": false,</t>
  </si>
  <si>
    <t xml:space="preserve">        "MekaniskVentilation": false,</t>
  </si>
  <si>
    <t xml:space="preserve">        "SystolisktTryck": 110,</t>
  </si>
  <si>
    <t xml:space="preserve">        "BasÖverskott": 3.7,</t>
  </si>
  <si>
    <t xml:space="preserve">        "SpO2": 98,</t>
  </si>
  <si>
    <t xml:space="preserve">        "Laktat": 3.0</t>
  </si>
  <si>
    <t xml:space="preserve">          "Datum": "2024-02-02T12:00:00"</t>
  </si>
  <si>
    <t xml:space="preserve">          "Indikator2": 2,</t>
  </si>
  <si>
    <t xml:space="preserve">          "StartDatumTid": "2024-02-02T10:00:00",</t>
  </si>
  <si>
    <t xml:space="preserve">          "StartDatumTid": "2024-02-02T05:30:00",</t>
  </si>
  <si>
    <t xml:space="preserve">          "SlutDatumTid": "2024-02-02T09:00:00",</t>
  </si>
  <si>
    <t xml:space="preserve">          "Kod": "DG023"</t>
  </si>
  <si>
    <t xml:space="preserve">          "ICD10Kod": "J969"</t>
  </si>
  <si>
    <t xml:space="preserve">          "ICD10Kod": "R568"</t>
  </si>
  <si>
    <t xml:space="preserve">        "VårdtillfälletsStart": "2024-02-02T19:30:00",</t>
  </si>
  <si>
    <t xml:space="preserve">        "Ankomsttid": "2024-02-02T19:30:00",</t>
  </si>
  <si>
    <t xml:space="preserve">        "Utskrivningstid": "2024-02-02T23:50:00",</t>
  </si>
  <si>
    <t xml:space="preserve">        "UtskrivenTill": "AnnanIVA",</t>
  </si>
  <si>
    <t xml:space="preserve">        "UtskrivningsOrsak": "Medicinsk",</t>
  </si>
  <si>
    <t xml:space="preserve">          "Neurologisk": "Kramper",</t>
  </si>
  <si>
    <t xml:space="preserve">          "TidBeslut": "2024-02-02T20:00:00"</t>
  </si>
  <si>
    <t xml:space="preserve">        "LågRisk": "6",</t>
  </si>
  <si>
    <t xml:space="preserve">        "SystolisktTryck": 70,</t>
  </si>
  <si>
    <t xml:space="preserve">        "BasÖverskott": 0.6,</t>
  </si>
  <si>
    <t xml:space="preserve">        "FiO2": 40,</t>
  </si>
  <si>
    <t xml:space="preserve">        "PaO2": 17.0,</t>
  </si>
  <si>
    <t xml:space="preserve">        "Laktat": 3.5</t>
  </si>
  <si>
    <t xml:space="preserve">          "Kod": "SK-103",</t>
  </si>
  <si>
    <t xml:space="preserve">          "Datum": "2024-02-02T19:30:00"</t>
  </si>
  <si>
    <t xml:space="preserve">          "Indikator2": 3,</t>
  </si>
  <si>
    <t xml:space="preserve">          "StartDatumTid": "2024-02-02T20:00:00",</t>
  </si>
  <si>
    <t xml:space="preserve">          "Kod": "TAB00"</t>
  </si>
  <si>
    <t xml:space="preserve">          "StartDatumTid": "2024-02-02T23:40:00",</t>
  </si>
  <si>
    <t xml:space="preserve">          "SlutDatumTid": "2024-02-02T23:50:00",</t>
  </si>
  <si>
    <t xml:space="preserve">          "StartDatumTid": "2024-02-02T23:30:00",</t>
  </si>
  <si>
    <t xml:space="preserve">          "ICD10Kod": "G009"</t>
  </si>
  <si>
    <t xml:space="preserve">          "ICD10Kod": "G919"</t>
  </si>
  <si>
    <t xml:space="preserve">    "PeriodSlut": "2024-01-26",</t>
  </si>
  <si>
    <t xml:space="preserve">    "Skapad": "2024-01-27"</t>
  </si>
  <si>
    <t xml:space="preserve">        "Personnummer": "19370412-XXXX",</t>
  </si>
  <si>
    <t xml:space="preserve">        "Födelsedatum": "1937-04-12",</t>
  </si>
  <si>
    <t xml:space="preserve">        "VårdtillfälletsStart": "2024-01-01T14:45:00",</t>
  </si>
  <si>
    <t xml:space="preserve">        "Ankomsttid": "2024-01-01T14:45:00",</t>
  </si>
  <si>
    <t xml:space="preserve">        "Utskrivningstid": "2024-01-02T15:15:00",</t>
  </si>
  <si>
    <t xml:space="preserve">        "Vårdtyp": "TIVA",</t>
  </si>
  <si>
    <t xml:space="preserve">        "Opererad": "Elektivt",</t>
  </si>
  <si>
    <t xml:space="preserve">        "Opereradtid": "2024-01-01T14:25:00",</t>
  </si>
  <si>
    <t xml:space="preserve">        "Moderklinik": "Thoraxkirurgi",</t>
  </si>
  <si>
    <t xml:space="preserve">          "EndastObservation": true</t>
  </si>
  <si>
    <t xml:space="preserve">      "PreOperationer": [</t>
  </si>
  <si>
    <t xml:space="preserve">          "DatumTid": "2024-01-01T14:25:00",</t>
  </si>
  <si>
    <t xml:space="preserve">          "OperationsKoder": [</t>
  </si>
  <si>
    <t xml:space="preserve">            "FNC10",</t>
  </si>
  <si>
    <t xml:space="preserve">            "FNA00",</t>
  </si>
  <si>
    <t xml:space="preserve">            "FXA00",</t>
  </si>
  <si>
    <t xml:space="preserve">            "TFP00"</t>
  </si>
  <si>
    <t xml:space="preserve">          ]</t>
  </si>
  <si>
    <t xml:space="preserve">          "BeslutTagetFöreIva": true</t>
  </si>
  <si>
    <t xml:space="preserve">        "TidPåSjukhus": 1,</t>
  </si>
  <si>
    <t xml:space="preserve">        "Vårdplats": "Operation",</t>
  </si>
  <si>
    <t xml:space="preserve">        "Operationstyp": "IsoleratTrauma",</t>
  </si>
  <si>
    <t xml:space="preserve">        "RLS85": "1",</t>
  </si>
  <si>
    <t xml:space="preserve">        "Bilirubin": 10,</t>
  </si>
  <si>
    <t xml:space="preserve">        "Kroppstemperatur": 36.1,</t>
  </si>
  <si>
    <t xml:space="preserve">        "Kreatinin": 92,</t>
  </si>
  <si>
    <t xml:space="preserve">        "Hjärtfrekvens": 82,</t>
  </si>
  <si>
    <t xml:space="preserve">        "BLeukocyter": 12.0,</t>
  </si>
  <si>
    <t xml:space="preserve">        "aBpH": 7.33,</t>
  </si>
  <si>
    <t xml:space="preserve">        "BTrombocyt": 176,</t>
  </si>
  <si>
    <t xml:space="preserve">        "SystolisktTryck": 85,</t>
  </si>
  <si>
    <t xml:space="preserve">        "PaO2": 11,</t>
  </si>
  <si>
    <t xml:space="preserve">      "Higgins": {</t>
  </si>
  <si>
    <t xml:space="preserve">        "Intagningsorsak": "4:7",</t>
  </si>
  <si>
    <t xml:space="preserve">        "Status": "Fullständig",</t>
  </si>
  <si>
    <t xml:space="preserve">        "AntalHjärtop": 0,</t>
  </si>
  <si>
    <t xml:space="preserve">        "TidigareKärlkirurgi": true,</t>
  </si>
  <si>
    <t xml:space="preserve">        "Vikt": 82,</t>
  </si>
  <si>
    <t xml:space="preserve">        "Längd": 178,</t>
  </si>
  <si>
    <t xml:space="preserve">        "KreaPreop": 87,</t>
  </si>
  <si>
    <t xml:space="preserve">        "AlbPreop": 36,</t>
  </si>
  <si>
    <t xml:space="preserve">        "ECCtid": 49,</t>
  </si>
  <si>
    <t xml:space="preserve">        "Ballongpump": false,</t>
  </si>
  <si>
    <t xml:space="preserve">        "Inandningsoxygen": 99,</t>
  </si>
  <si>
    <t xml:space="preserve">        "ArtPCO2": 15,</t>
  </si>
  <si>
    <t xml:space="preserve">        "ArtPO2": 50.2,</t>
  </si>
  <si>
    <t xml:space="preserve">        "ArtO2": 50,</t>
  </si>
  <si>
    <t xml:space="preserve">        "CentralvenösO2": 65,</t>
  </si>
  <si>
    <t xml:space="preserve">        "CVP": 15,</t>
  </si>
  <si>
    <t xml:space="preserve">        "BasÖverskott": -3,</t>
  </si>
  <si>
    <t xml:space="preserve">        "AktiveradTEDA": false,</t>
  </si>
  <si>
    <t xml:space="preserve">        "IntuberadVidAnkomst": true,</t>
  </si>
  <si>
    <t xml:space="preserve">        "AortaTångtid": 30</t>
  </si>
  <si>
    <t xml:space="preserve">          "Datum": "2024-01-02T10:15:00"</t>
  </si>
  <si>
    <t xml:space="preserve">          "Datum": "2024-01-01",</t>
  </si>
  <si>
    <t xml:space="preserve">          "Indikator4": 2,</t>
  </si>
  <si>
    <t xml:space="preserve">          "Datum": "2024-01-02",</t>
  </si>
  <si>
    <t xml:space="preserve">          "StartDatumTid": "2024-01-01T14:45:00",</t>
  </si>
  <si>
    <t xml:space="preserve">          "SlutDatumTid": "2024-01-02T10:15:00",</t>
  </si>
  <si>
    <t xml:space="preserve">          "SlutDatumTid": "2024-01-01T16:25:00",</t>
  </si>
  <si>
    <t xml:space="preserve">          "ICD10Kod": "Z049"</t>
  </si>
  <si>
    <t xml:space="preserve">      "OmvårdnadSmärta": [</t>
  </si>
  <si>
    <t xml:space="preserve">          "ÄrSkattningGjord": true,</t>
  </si>
  <si>
    <t xml:space="preserve">          "Tidpunkt": "2024-01-01T15:00:00",</t>
  </si>
  <si>
    <t xml:space="preserve">          "CPOT": {</t>
  </si>
  <si>
    <t xml:space="preserve">            "Ansiktsuttryck": "0",</t>
  </si>
  <si>
    <t xml:space="preserve">            "Kroppsrörelser": "1",</t>
  </si>
  <si>
    <t xml:space="preserve">            "Ventilator": "0",</t>
  </si>
  <si>
    <t xml:space="preserve">            "Muskeltonus": "2"</t>
  </si>
  <si>
    <t xml:space="preserve">          "Omvårdnadsåtgärder": "Musik, Läge",</t>
  </si>
  <si>
    <t xml:space="preserve">          "Läkemedelsåtgärder": "Ökning, Dos",</t>
  </si>
  <si>
    <t xml:space="preserve">          "Uppföljning": {</t>
  </si>
  <si>
    <t xml:space="preserve">            "BPS": {</t>
  </si>
  <si>
    <t xml:space="preserve">              "Ansiktsuttryck": "2",</t>
  </si>
  <si>
    <t xml:space="preserve">              "Armrörelser": "2",</t>
  </si>
  <si>
    <t xml:space="preserve">              "Andningsmönster": "3",</t>
  </si>
  <si>
    <t xml:space="preserve">              "Röstuttryck": "2"</t>
  </si>
  <si>
    <t xml:space="preserve">            }</t>
  </si>
  <si>
    <t xml:space="preserve">          "Tidpunkt": "2024-01-01T19:00:00",</t>
  </si>
  <si>
    <t xml:space="preserve">            "Ventilator": "2",</t>
  </si>
  <si>
    <t xml:space="preserve">          "Tidpunkt": "2024-01-02T09:00:00",</t>
  </si>
  <si>
    <t xml:space="preserve">          "BPS": {</t>
  </si>
  <si>
    <t xml:space="preserve">            "Ansiktsuttryck": "3",</t>
  </si>
  <si>
    <t xml:space="preserve">            "Armrörelser": "4",</t>
  </si>
  <si>
    <t xml:space="preserve">            "Andningsmönster": "4"</t>
  </si>
  <si>
    <t xml:space="preserve">          "Omvårdnadsåtgärder": "Värme, Annan",</t>
  </si>
  <si>
    <t xml:space="preserve">          "Läkemedelsåtgärder": "Inga",</t>
  </si>
  <si>
    <t xml:space="preserve">            "NRS": "7"</t>
  </si>
  <si>
    <t xml:space="preserve">          "ÄrSkattningGjord": false,</t>
  </si>
  <si>
    <t xml:space="preserve">          "BedömningSaknasAnledning": "Medvetandesänkt"</t>
  </si>
  <si>
    <t xml:space="preserve">      "OmvårdnadSedering": [</t>
  </si>
  <si>
    <t xml:space="preserve">          "FinnsOrdineradSederingsgrad": false,</t>
  </si>
  <si>
    <t xml:space="preserve">          "Tidpunkt": "2024-01-01T16:45:00",</t>
  </si>
  <si>
    <t xml:space="preserve">          "RASS": "-3",</t>
  </si>
  <si>
    <t xml:space="preserve">          "ÅtgärdEjUppfylldSederingsgrad": "Byte"</t>
  </si>
  <si>
    <t xml:space="preserve">          "Tidpunkt": "2024-01-01T17:45:00",</t>
  </si>
  <si>
    <t xml:space="preserve">          "MAAS": "4"</t>
  </si>
  <si>
    <t xml:space="preserve">          "BedömningSaknasAnledning": "EjNärvarande"</t>
  </si>
  <si>
    <t xml:space="preserve">      "OmvårdnadDelirium": [</t>
  </si>
  <si>
    <t xml:space="preserve">          "NuDesc": {</t>
  </si>
  <si>
    <t xml:space="preserve">            "Datum": "2024-01-01",</t>
  </si>
  <si>
    <t xml:space="preserve">            "Pass": "Morgon",</t>
  </si>
  <si>
    <t xml:space="preserve">            "Desorientering": "Aldrig",</t>
  </si>
  <si>
    <t xml:space="preserve">            "InadekvatBeteende": "Störande",</t>
  </si>
  <si>
    <t xml:space="preserve">            "InadekvatKommunikation": "Störande",</t>
  </si>
  <si>
    <t xml:space="preserve">            "Illusioner": "Lindrigt",</t>
  </si>
  <si>
    <t xml:space="preserve">            "PsykomotoriskFörlångsamning": "Lindrigt"</t>
  </si>
  <si>
    <t xml:space="preserve">          "Läkemedelsåtgärder": "Justering, Bolus",</t>
  </si>
  <si>
    <t xml:space="preserve">          "Omvårdnadsåtgärder": "Personalkontinuitet, Musik"</t>
  </si>
  <si>
    <t xml:space="preserve">          "BedömningSaknasAnledning": "AnnanOrsak"</t>
  </si>
  <si>
    <t xml:space="preserve">        "Personnummer": "19400715-XXXX",</t>
  </si>
  <si>
    <t xml:space="preserve">        "Födelsedatum": "1940-07-15",</t>
  </si>
  <si>
    <t xml:space="preserve">        "VårdtillfälletsStart": "2024-01-03T12:20:00",</t>
  </si>
  <si>
    <t xml:space="preserve">        "Ankomsttid": "2024-01-03T12:20:00",</t>
  </si>
  <si>
    <t xml:space="preserve">        "Utskrivningstid": "2024-01-04T11:04:00",</t>
  </si>
  <si>
    <t xml:space="preserve">        "Ankomstväg": "Operation",</t>
  </si>
  <si>
    <t xml:space="preserve">        "Opereradtid": "2024-01-03T11:56:00",</t>
  </si>
  <si>
    <t xml:space="preserve">          "DatumTid": "2024-01-03T11:56:00",</t>
  </si>
  <si>
    <t xml:space="preserve">            "FMD10",</t>
  </si>
  <si>
    <t xml:space="preserve">          "DokumenteratBeslut": "BeslutSaknas"</t>
  </si>
  <si>
    <t xml:space="preserve">        "Operationstyp": "Övrig",</t>
  </si>
  <si>
    <t xml:space="preserve">        "Bilirubin": 8,</t>
  </si>
  <si>
    <t xml:space="preserve">        "Kroppstemperatur": 36.7,</t>
  </si>
  <si>
    <t xml:space="preserve">        "Kreatinin": 93,</t>
  </si>
  <si>
    <t xml:space="preserve">        "Hjärtfrekvens": 80,</t>
  </si>
  <si>
    <t xml:space="preserve">        "BLeukocyter": 15.5,</t>
  </si>
  <si>
    <t xml:space="preserve">        "aBpH": 7.3,</t>
  </si>
  <si>
    <t xml:space="preserve">        "BTrombocyt": 147,</t>
  </si>
  <si>
    <t xml:space="preserve">        "SystolisktTryck": 93,</t>
  </si>
  <si>
    <t xml:space="preserve">        "FiO2": 35,</t>
  </si>
  <si>
    <t xml:space="preserve">        "PaO2": 13.2,</t>
  </si>
  <si>
    <t xml:space="preserve">        "Intagningsorsak": "4:3",</t>
  </si>
  <si>
    <t xml:space="preserve">        "TidigareKärlkirurgi": false,</t>
  </si>
  <si>
    <t xml:space="preserve">        "Vikt": 64,</t>
  </si>
  <si>
    <t xml:space="preserve">        "Längd": 156,</t>
  </si>
  <si>
    <t xml:space="preserve">        "KreaPreop": 102,</t>
  </si>
  <si>
    <t xml:space="preserve">        "AlbPreop": 34,</t>
  </si>
  <si>
    <t xml:space="preserve">        "ECCtid": 107,</t>
  </si>
  <si>
    <t xml:space="preserve">        "Inandningsoxygen": 35,</t>
  </si>
  <si>
    <t xml:space="preserve">        "ArtPCO2": 6.2,</t>
  </si>
  <si>
    <t xml:space="preserve">        "ArtPO2": 13.2,</t>
  </si>
  <si>
    <t xml:space="preserve">        "ArtO2": 99,</t>
  </si>
  <si>
    <t xml:space="preserve">        "CentralvenösO2": 66,</t>
  </si>
  <si>
    <t xml:space="preserve">        "CVP": 10,</t>
  </si>
  <si>
    <t xml:space="preserve">        "AortaTångtid": 79</t>
  </si>
  <si>
    <t xml:space="preserve">          "Datum": "2024-01-04T11:04:00"</t>
  </si>
  <si>
    <t xml:space="preserve">          "Datum": "2024-01-03",</t>
  </si>
  <si>
    <t xml:space="preserve">          "Datum": "2024-01-04",</t>
  </si>
  <si>
    <t xml:space="preserve">          "StartDatumTid": "2024-01-03T12:20:00",</t>
  </si>
  <si>
    <t xml:space="preserve">          "SlutDatumTid": "2024-01-04T10:10:00",</t>
  </si>
  <si>
    <t xml:space="preserve">          "SlutDatumTid": "2024-01-03T14:05:00",</t>
  </si>
  <si>
    <t xml:space="preserve">        "Utskrivningstid": "2024-01-02T10:15:00",</t>
  </si>
  <si>
    <t xml:space="preserve">      "DagligSOFA": [</t>
  </si>
  <si>
    <t xml:space="preserve">          "Datum": "2024-01-01T00:00:00",</t>
  </si>
  <si>
    <t xml:space="preserve">          "Status": "Fullständig",</t>
  </si>
  <si>
    <t xml:space="preserve">          "FiO2": 22,</t>
  </si>
  <si>
    <t xml:space="preserve">          "PaO2": 200,</t>
  </si>
  <si>
    <t xml:space="preserve">          "Oxygeneringsindex": 1200,</t>
  </si>
  <si>
    <t xml:space="preserve">          "BTrombocyter": 2200,</t>
  </si>
  <si>
    <t xml:space="preserve">          "Bilirubin": 4,</t>
  </si>
  <si>
    <t xml:space="preserve">          "Dopamin": "Nivå2",</t>
  </si>
  <si>
    <t xml:space="preserve">          "Noradrenalin": "Nivå2",</t>
  </si>
  <si>
    <t xml:space="preserve">          "Adrenalin": "Nej",</t>
  </si>
  <si>
    <t xml:space="preserve">          "Dobutamin": true,</t>
  </si>
  <si>
    <t xml:space="preserve">          "Levosimendan": false,</t>
  </si>
  <si>
    <t xml:space="preserve">          "Vasopressin": false,</t>
  </si>
  <si>
    <t xml:space="preserve">          "RLS85": "1",</t>
  </si>
  <si>
    <t xml:space="preserve">          "Kreatinin": 2000,</t>
  </si>
  <si>
    <t xml:space="preserve">          "Diures": 20000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</si>
</sst>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Calibri"/>
    </font>
    <font>
      <b/>
      <sz val="11"/>
      <name val="Calibri"/>
    </font>
    <font>
      <sz val="15"/>
      <name val="Calibri"/>
    </font>
    <font>
      <b/>
      <sz val="15"/>
      <name val="Calibri"/>
    </font>
    <font>
      <sz val="11"/>
      <color rgb="FF00008B"/>
      <name val="Calibri"/>
    </font>
    <font>
      <b/>
      <sz val="14"/>
      <color rgb="FF00008B"/>
      <name val="Calibri"/>
    </font>
    <font>
      <sz val="11"/>
      <color rgb="FF8B0000"/>
      <name val="Calibri"/>
    </font>
    <font>
      <b/>
      <sz val="11"/>
      <color rgb="FF8B0000"/>
      <name val="Calibri"/>
    </font>
    <font>
      <sz val="11"/>
      <color rgb="FF006400"/>
      <name val="Calibri"/>
    </font>
    <font>
      <sz val="16"/>
      <name val="Calibri"/>
    </font>
    <font>
      <sz val="11"/>
      <name val="Consolas"/>
    </font>
    <font>
      <b/>
      <sz val="14"/>
      <name val="Calibri"/>
    </font>
    <font>
      <i/>
      <sz val="11"/>
      <color rgb="FF8B0000"/>
      <name val="Calibri"/>
    </font>
    <font>
      <b/>
      <i/>
      <sz val="8"/>
      <color rgb="FF8B0000"/>
      <name val="Calibri"/>
    </font>
    <font>
      <i/>
      <sz val="11"/>
      <name val="Calibri"/>
    </font>
    <font>
      <sz val="11"/>
      <color rgb="FFA9A9A9"/>
      <name val="Calibri"/>
    </font>
  </fonts>
  <fills count="4">
    <fill>
      <patternFill patternType="none"/>
    </fill>
    <fill>
      <patternFill patternType="gray125"/>
    </fill>
    <fill>
      <patternFill patternType="solid">
        <fgColor rgb="FFFAEBD7"/>
      </patternFill>
    </fill>
    <fill>
      <patternFill patternType="solid">
        <fgColor rgb="FFFFFAFA"/>
      </patternFill>
    </fill>
  </fills>
  <borders count="23">
    <border>
      <left/>
      <right/>
      <top/>
      <bottom/>
      <diagonal/>
    </border>
    <border>
      <left/>
      <right/>
      <top/>
      <bottom style="medium">
        <color auto="1"/>
      </bottom>
      <diagonal/>
    </border>
    <border>
      <left/>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hair">
        <color auto="1"/>
      </top>
      <bottom/>
      <diagonal/>
    </border>
    <border>
      <left style="medium">
        <color auto="1"/>
      </left>
      <right/>
      <top style="hair">
        <color auto="1"/>
      </top>
      <bottom/>
      <diagonal/>
    </border>
    <border>
      <left/>
      <right style="medium">
        <color auto="1"/>
      </right>
      <top style="hair">
        <color auto="1"/>
      </top>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top style="hair">
        <color auto="1"/>
      </top>
      <bottom style="hair">
        <color rgb="FF000000"/>
      </bottom>
      <diagonal/>
    </border>
    <border>
      <left/>
      <right/>
      <top style="medium">
        <color auto="1"/>
      </top>
      <bottom style="hair">
        <color rgb="FF000000"/>
      </bottom>
      <diagonal/>
    </border>
    <border>
      <left style="medium">
        <color auto="1"/>
      </left>
      <right/>
      <top style="medium">
        <color auto="1"/>
      </top>
      <bottom style="hair">
        <color rgb="FF000000"/>
      </bottom>
      <diagonal/>
    </border>
    <border>
      <left style="medium">
        <color auto="1"/>
      </left>
      <right/>
      <top style="hair">
        <color auto="1"/>
      </top>
      <bottom style="hair">
        <color rgb="FF000000"/>
      </bottom>
      <diagonal/>
    </border>
    <border>
      <left/>
      <right style="medium">
        <color auto="1"/>
      </right>
      <top style="medium">
        <color auto="1"/>
      </top>
      <bottom style="hair">
        <color rgb="FF000000"/>
      </bottom>
      <diagonal/>
    </border>
    <border>
      <left/>
      <right style="medium">
        <color auto="1"/>
      </right>
      <top style="hair">
        <color auto="1"/>
      </top>
      <bottom style="hair">
        <color rgb="FF000000"/>
      </bottom>
      <diagonal/>
    </border>
  </borders>
  <cellStyleXfs count="1">
    <xf numFmtId="0" fontId="0" fillId="0" borderId="0"/>
  </cellStyleXfs>
  <cellXfs count="78">
    <xf numFmtId="0" fontId="0" fillId="0" borderId="0" xfId="0"/>
    <xf numFmtId="0" fontId="2" fillId="2" borderId="1" xfId="0" applyFont="1" applyFill="1" applyBorder="1"/>
    <xf numFmtId="0" fontId="0" fillId="0" borderId="0" xfId="0" applyAlignment="1">
      <alignment horizontal="left" vertical="top"/>
    </xf>
    <xf numFmtId="0" fontId="4" fillId="0" borderId="0" xfId="0" applyFont="1" applyAlignment="1">
      <alignment horizontal="left" vertical="top"/>
    </xf>
    <xf numFmtId="0" fontId="0" fillId="0" borderId="0" xfId="0" applyAlignment="1">
      <alignment horizontal="right" vertical="top"/>
    </xf>
    <xf numFmtId="0" fontId="0" fillId="0" borderId="0" xfId="0" applyAlignment="1">
      <alignment horizontal="left" vertical="center" wrapText="1" indent="1"/>
    </xf>
    <xf numFmtId="0" fontId="9" fillId="0" borderId="0" xfId="0" applyFont="1"/>
    <xf numFmtId="0" fontId="0" fillId="0" borderId="2" xfId="0" applyBorder="1" applyAlignment="1">
      <alignment horizontal="left" vertical="center" wrapText="1" indent="1"/>
    </xf>
    <xf numFmtId="0" fontId="0" fillId="0" borderId="1" xfId="0" applyBorder="1" applyAlignment="1">
      <alignment horizontal="left" vertical="center" wrapText="1" inden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10" fillId="0" borderId="0" xfId="0" applyFont="1"/>
    <xf numFmtId="0" fontId="11" fillId="0" borderId="0" xfId="0" applyFont="1" applyAlignment="1">
      <alignment horizontal="left" vertical="top"/>
    </xf>
    <xf numFmtId="0" fontId="13" fillId="0" borderId="0" xfId="0" applyFont="1" applyAlignment="1">
      <alignment horizontal="left" vertical="top"/>
    </xf>
    <xf numFmtId="0" fontId="14" fillId="0" borderId="9" xfId="0" applyFont="1" applyBorder="1" applyAlignment="1">
      <alignment horizontal="left" vertical="top" wrapText="1"/>
    </xf>
    <xf numFmtId="0" fontId="14" fillId="0" borderId="9" xfId="0" applyFont="1" applyBorder="1" applyAlignment="1">
      <alignment horizontal="left" vertical="top"/>
    </xf>
    <xf numFmtId="0" fontId="14" fillId="0" borderId="2" xfId="0" applyFont="1" applyBorder="1" applyAlignment="1">
      <alignment horizontal="left" vertical="top" wrapText="1"/>
    </xf>
    <xf numFmtId="0" fontId="0" fillId="0" borderId="1" xfId="0" applyBorder="1"/>
    <xf numFmtId="0" fontId="1" fillId="0" borderId="3" xfId="0" applyFont="1" applyBorder="1" applyAlignment="1">
      <alignment horizontal="left" vertical="top"/>
    </xf>
    <xf numFmtId="0" fontId="0" fillId="0" borderId="4" xfId="0" applyBorder="1"/>
    <xf numFmtId="0" fontId="1" fillId="0" borderId="10" xfId="0" applyFont="1" applyBorder="1" applyAlignment="1">
      <alignment horizontal="left" vertical="top"/>
    </xf>
    <xf numFmtId="0" fontId="0" fillId="0" borderId="5" xfId="0" applyBorder="1"/>
    <xf numFmtId="0" fontId="0" fillId="0" borderId="7" xfId="0" applyBorder="1"/>
    <xf numFmtId="0" fontId="0" fillId="0" borderId="8" xfId="0" applyBorder="1"/>
    <xf numFmtId="0" fontId="0" fillId="0" borderId="13" xfId="0" applyBorder="1" applyAlignment="1">
      <alignment horizontal="left" vertical="top"/>
    </xf>
    <xf numFmtId="0" fontId="0" fillId="0" borderId="3" xfId="0" applyBorder="1" applyAlignment="1">
      <alignment horizontal="left" vertical="top"/>
    </xf>
    <xf numFmtId="0" fontId="0" fillId="0" borderId="10" xfId="0" applyBorder="1" applyAlignment="1">
      <alignment horizontal="left" vertical="top"/>
    </xf>
    <xf numFmtId="0" fontId="0" fillId="0" borderId="16" xfId="0"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 fillId="0" borderId="4" xfId="0" applyFont="1" applyBorder="1" applyAlignment="1">
      <alignment horizontal="left" vertical="top"/>
    </xf>
    <xf numFmtId="0" fontId="6" fillId="0" borderId="13" xfId="0" applyFont="1" applyBorder="1" applyAlignment="1">
      <alignment horizontal="left" vertical="top"/>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3" fillId="2" borderId="1" xfId="0" applyFont="1" applyFill="1" applyBorder="1" applyAlignment="1">
      <alignment horizontal="left" vertical="top"/>
    </xf>
    <xf numFmtId="0" fontId="2" fillId="2" borderId="1" xfId="0" applyFont="1" applyFill="1" applyBorder="1"/>
    <xf numFmtId="0" fontId="8" fillId="0" borderId="2" xfId="0" applyFont="1" applyBorder="1" applyAlignment="1">
      <alignment horizontal="left" vertical="top" wrapText="1"/>
    </xf>
    <xf numFmtId="0" fontId="0" fillId="0" borderId="2" xfId="0" applyBorder="1"/>
    <xf numFmtId="0" fontId="0" fillId="0" borderId="6" xfId="0" applyBorder="1"/>
    <xf numFmtId="0" fontId="8" fillId="0" borderId="0" xfId="0" applyFont="1" applyAlignment="1">
      <alignment horizontal="left" vertical="top" wrapText="1"/>
    </xf>
    <xf numFmtId="0" fontId="0" fillId="0" borderId="0" xfId="0"/>
    <xf numFmtId="0" fontId="0" fillId="0" borderId="7" xfId="0" applyBorder="1"/>
    <xf numFmtId="0" fontId="8" fillId="0" borderId="1" xfId="0" applyFont="1" applyBorder="1" applyAlignment="1">
      <alignment horizontal="left" vertical="top" wrapText="1"/>
    </xf>
    <xf numFmtId="0" fontId="0" fillId="0" borderId="1" xfId="0" applyBorder="1"/>
    <xf numFmtId="0" fontId="0" fillId="0" borderId="8" xfId="0" applyBorder="1"/>
    <xf numFmtId="0" fontId="7" fillId="0" borderId="0" xfId="0" applyFont="1" applyAlignment="1">
      <alignment horizontal="left" vertical="top"/>
    </xf>
    <xf numFmtId="0" fontId="8" fillId="0" borderId="9" xfId="0" applyFont="1" applyBorder="1" applyAlignment="1">
      <alignment horizontal="left" vertical="top" wrapText="1"/>
    </xf>
    <xf numFmtId="0" fontId="0" fillId="0" borderId="9" xfId="0" applyBorder="1"/>
    <xf numFmtId="0" fontId="0" fillId="0" borderId="11" xfId="0" applyBorder="1"/>
    <xf numFmtId="0" fontId="15" fillId="0" borderId="0" xfId="0" applyFont="1" applyAlignment="1">
      <alignment horizontal="left" vertical="top"/>
    </xf>
    <xf numFmtId="0" fontId="8" fillId="0" borderId="12" xfId="0" applyFont="1" applyBorder="1" applyAlignment="1">
      <alignment horizontal="left" vertical="top" wrapText="1"/>
    </xf>
    <xf numFmtId="0" fontId="0" fillId="0" borderId="12" xfId="0" applyBorder="1"/>
    <xf numFmtId="0" fontId="0" fillId="0" borderId="14" xfId="0" applyBorder="1"/>
    <xf numFmtId="0" fontId="8" fillId="0" borderId="15" xfId="0" applyFont="1" applyBorder="1" applyAlignment="1">
      <alignment horizontal="left" vertical="top" wrapText="1"/>
    </xf>
    <xf numFmtId="0" fontId="0" fillId="0" borderId="15" xfId="0" applyBorder="1"/>
    <xf numFmtId="0" fontId="1" fillId="3" borderId="19" xfId="0" applyFont="1" applyFill="1" applyBorder="1" applyAlignment="1">
      <alignment horizontal="left" vertical="top" wrapText="1"/>
    </xf>
    <xf numFmtId="0" fontId="0" fillId="0" borderId="18" xfId="0" applyBorder="1"/>
    <xf numFmtId="0" fontId="0" fillId="0" borderId="21" xfId="0" applyBorder="1"/>
    <xf numFmtId="0" fontId="1" fillId="3" borderId="20" xfId="0" applyFont="1" applyFill="1" applyBorder="1" applyAlignment="1">
      <alignment horizontal="left" vertical="top" wrapText="1"/>
    </xf>
    <xf numFmtId="0" fontId="0" fillId="0" borderId="17" xfId="0" applyBorder="1"/>
    <xf numFmtId="0" fontId="0" fillId="0" borderId="22" xfId="0" applyBorder="1"/>
    <xf numFmtId="0" fontId="12" fillId="0" borderId="0" xfId="0" applyFont="1" applyAlignment="1">
      <alignment horizontal="left" vertical="top"/>
    </xf>
    <xf numFmtId="0" fontId="5" fillId="0" borderId="0" xfId="0" applyFont="1" applyAlignment="1">
      <alignment horizontal="left" vertical="top"/>
    </xf>
    <xf numFmtId="0" fontId="10" fillId="0" borderId="3" xfId="0" applyFont="1" applyBorder="1" applyAlignment="1">
      <alignment horizontal="left" vertical="top"/>
    </xf>
    <xf numFmtId="0" fontId="10" fillId="0" borderId="2" xfId="0" applyFont="1" applyBorder="1"/>
    <xf numFmtId="0" fontId="10" fillId="0" borderId="6" xfId="0" applyFont="1" applyBorder="1"/>
    <xf numFmtId="0" fontId="10" fillId="0" borderId="4" xfId="0" applyFont="1" applyBorder="1" applyAlignment="1">
      <alignment horizontal="left" vertical="top"/>
    </xf>
    <xf numFmtId="0" fontId="10" fillId="0" borderId="0" xfId="0" applyFont="1"/>
    <xf numFmtId="0" fontId="10" fillId="0" borderId="7" xfId="0" applyFont="1" applyBorder="1"/>
    <xf numFmtId="0" fontId="10" fillId="0" borderId="5" xfId="0" applyFont="1" applyBorder="1" applyAlignment="1">
      <alignment horizontal="left" vertical="top"/>
    </xf>
    <xf numFmtId="0" fontId="10" fillId="0" borderId="1" xfId="0" applyFont="1" applyBorder="1"/>
    <xf numFmtId="0" fontId="10"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2"/>
  <sheetViews>
    <sheetView tabSelected="1" workbookViewId="0">
      <selection sqref="A1:AD1"/>
    </sheetView>
  </sheetViews>
  <sheetFormatPr defaultRowHeight="15" x14ac:dyDescent="0.25"/>
  <cols>
    <col min="1" max="1" width="9.140625" customWidth="1"/>
    <col min="2" max="2" width="36" customWidth="1"/>
    <col min="3" max="10" width="9.140625" customWidth="1"/>
  </cols>
  <sheetData>
    <row r="1" spans="1:30" s="1" customFormat="1" ht="19.5" x14ac:dyDescent="0.3">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5" spans="1:30" ht="48.95" customHeight="1" x14ac:dyDescent="0.25">
      <c r="B5" s="37" t="str">
        <f>HYPERLINK("#'Json-dokumentation'!A6", "SIRData")</f>
        <v>SIRData</v>
      </c>
      <c r="C5" s="42" t="s">
        <v>1</v>
      </c>
      <c r="D5" s="43"/>
      <c r="E5" s="43"/>
      <c r="F5" s="43"/>
      <c r="G5" s="43"/>
      <c r="H5" s="43"/>
      <c r="I5" s="43"/>
      <c r="J5" s="44"/>
    </row>
    <row r="6" spans="1:30" ht="19.899999999999999" customHeight="1" x14ac:dyDescent="0.25">
      <c r="B6" s="38" t="str">
        <f>HYPERLINK("#'Json-dokumentation'!A23", "Innehåll")</f>
        <v>Innehåll</v>
      </c>
      <c r="C6" s="45" t="s">
        <v>2</v>
      </c>
      <c r="D6" s="46"/>
      <c r="E6" s="46"/>
      <c r="F6" s="46"/>
      <c r="G6" s="46"/>
      <c r="H6" s="46"/>
      <c r="I6" s="46"/>
      <c r="J6" s="47"/>
    </row>
    <row r="7" spans="1:30" ht="19.899999999999999" customHeight="1" x14ac:dyDescent="0.25">
      <c r="B7" s="38" t="str">
        <f>HYPERLINK("#'Json-dokumentation'!A61", "Vårdtillfälle")</f>
        <v>Vårdtillfälle</v>
      </c>
      <c r="C7" s="45" t="s">
        <v>3</v>
      </c>
      <c r="D7" s="46"/>
      <c r="E7" s="46"/>
      <c r="F7" s="46"/>
      <c r="G7" s="46"/>
      <c r="H7" s="46"/>
      <c r="I7" s="46"/>
      <c r="J7" s="47"/>
    </row>
    <row r="8" spans="1:30" ht="19.899999999999999" customHeight="1" x14ac:dyDescent="0.25">
      <c r="B8" s="38" t="str">
        <f>HYPERLINK("#'Json-dokumentation'!A154", "PersonData")</f>
        <v>PersonData</v>
      </c>
      <c r="C8" s="45" t="s">
        <v>4</v>
      </c>
      <c r="D8" s="46"/>
      <c r="E8" s="46"/>
      <c r="F8" s="46"/>
      <c r="G8" s="46"/>
      <c r="H8" s="46"/>
      <c r="I8" s="46"/>
      <c r="J8" s="47"/>
    </row>
    <row r="9" spans="1:30" ht="19.899999999999999" customHeight="1" x14ac:dyDescent="0.25">
      <c r="B9" s="38" t="str">
        <f>HYPERLINK("#'Json-dokumentation'!A212", "VårdData")</f>
        <v>VårdData</v>
      </c>
      <c r="C9" s="45" t="s">
        <v>5</v>
      </c>
      <c r="D9" s="46"/>
      <c r="E9" s="46"/>
      <c r="F9" s="46"/>
      <c r="G9" s="46"/>
      <c r="H9" s="46"/>
      <c r="I9" s="46"/>
      <c r="J9" s="47"/>
    </row>
    <row r="10" spans="1:30" ht="48.95" customHeight="1" x14ac:dyDescent="0.25">
      <c r="B10" s="38" t="str">
        <f>HYPERLINK("#'Json-dokumentation'!A399", "PreOperationskoder")</f>
        <v>PreOperationskoder</v>
      </c>
      <c r="C10" s="45" t="s">
        <v>6</v>
      </c>
      <c r="D10" s="46"/>
      <c r="E10" s="46"/>
      <c r="F10" s="46"/>
      <c r="G10" s="46"/>
      <c r="H10" s="46"/>
      <c r="I10" s="46"/>
      <c r="J10" s="47"/>
    </row>
    <row r="11" spans="1:30" ht="121.15" customHeight="1" x14ac:dyDescent="0.25">
      <c r="B11" s="38" t="str">
        <f>HYPERLINK("#'Json-dokumentation'!A420", "BehandlingsStrategiPre2014")</f>
        <v>BehandlingsStrategiPre2014</v>
      </c>
      <c r="C11" s="45" t="s">
        <v>7</v>
      </c>
      <c r="D11" s="46"/>
      <c r="E11" s="46"/>
      <c r="F11" s="46"/>
      <c r="G11" s="46"/>
      <c r="H11" s="46"/>
      <c r="I11" s="46"/>
      <c r="J11" s="47"/>
    </row>
    <row r="12" spans="1:30" ht="92.25" customHeight="1" x14ac:dyDescent="0.25">
      <c r="B12" s="38" t="str">
        <f>HYPERLINK("#'Json-dokumentation'!A519", "BehandlingsStrategi2013")</f>
        <v>BehandlingsStrategi2013</v>
      </c>
      <c r="C12" s="45" t="s">
        <v>8</v>
      </c>
      <c r="D12" s="46"/>
      <c r="E12" s="46"/>
      <c r="F12" s="46"/>
      <c r="G12" s="46"/>
      <c r="H12" s="46"/>
      <c r="I12" s="46"/>
      <c r="J12" s="47"/>
    </row>
    <row r="13" spans="1:30" ht="48.95" customHeight="1" x14ac:dyDescent="0.25">
      <c r="B13" s="38" t="str">
        <f>HYPERLINK("#'Json-dokumentation'!A592", "SAPS3")</f>
        <v>SAPS3</v>
      </c>
      <c r="C13" s="45" t="s">
        <v>9</v>
      </c>
      <c r="D13" s="46"/>
      <c r="E13" s="46"/>
      <c r="F13" s="46"/>
      <c r="G13" s="46"/>
      <c r="H13" s="46"/>
      <c r="I13" s="46"/>
      <c r="J13" s="47"/>
    </row>
    <row r="14" spans="1:30" ht="19.899999999999999" customHeight="1" x14ac:dyDescent="0.25">
      <c r="B14" s="38" t="str">
        <f>HYPERLINK("#'Json-dokumentation'!A797", "Higgins")</f>
        <v>Higgins</v>
      </c>
      <c r="C14" s="45" t="s">
        <v>10</v>
      </c>
      <c r="D14" s="46"/>
      <c r="E14" s="46"/>
      <c r="F14" s="46"/>
      <c r="G14" s="46"/>
      <c r="H14" s="46"/>
      <c r="I14" s="46"/>
      <c r="J14" s="47"/>
    </row>
    <row r="15" spans="1:30" ht="121.15" customHeight="1" x14ac:dyDescent="0.25">
      <c r="B15" s="38" t="str">
        <f>HYPERLINK("#'Json-dokumentation'!A933", "ClinicalFrailtyScaleData")</f>
        <v>ClinicalFrailtyScaleData</v>
      </c>
      <c r="C15" s="45" t="s">
        <v>11</v>
      </c>
      <c r="D15" s="46"/>
      <c r="E15" s="46"/>
      <c r="F15" s="46"/>
      <c r="G15" s="46"/>
      <c r="H15" s="46"/>
      <c r="I15" s="46"/>
      <c r="J15" s="47"/>
    </row>
    <row r="16" spans="1:30" ht="19.899999999999999" customHeight="1" x14ac:dyDescent="0.25">
      <c r="B16" s="38" t="str">
        <f>HYPERLINK("#'Json-dokumentation'!A962", "PIM2")</f>
        <v>PIM2</v>
      </c>
      <c r="C16" s="45" t="s">
        <v>12</v>
      </c>
      <c r="D16" s="46"/>
      <c r="E16" s="46"/>
      <c r="F16" s="46"/>
      <c r="G16" s="46"/>
      <c r="H16" s="46"/>
      <c r="I16" s="46"/>
      <c r="J16" s="47"/>
    </row>
    <row r="17" spans="2:10" ht="19.899999999999999" customHeight="1" x14ac:dyDescent="0.25">
      <c r="B17" s="38" t="str">
        <f>HYPERLINK("#'Json-dokumentation'!A1060", "PIM3")</f>
        <v>PIM3</v>
      </c>
      <c r="C17" s="45" t="s">
        <v>13</v>
      </c>
      <c r="D17" s="46"/>
      <c r="E17" s="46"/>
      <c r="F17" s="46"/>
      <c r="G17" s="46"/>
      <c r="H17" s="46"/>
      <c r="I17" s="46"/>
      <c r="J17" s="47"/>
    </row>
    <row r="18" spans="2:10" ht="106.7" customHeight="1" x14ac:dyDescent="0.25">
      <c r="B18" s="38" t="str">
        <f>HYPERLINK("#'Json-dokumentation'!A1176", "SOFAData")</f>
        <v>SOFAData</v>
      </c>
      <c r="C18" s="45" t="s">
        <v>14</v>
      </c>
      <c r="D18" s="46"/>
      <c r="E18" s="46"/>
      <c r="F18" s="46"/>
      <c r="G18" s="46"/>
      <c r="H18" s="46"/>
      <c r="I18" s="46"/>
      <c r="J18" s="47"/>
    </row>
    <row r="19" spans="2:10" ht="92.25" customHeight="1" x14ac:dyDescent="0.25">
      <c r="B19" s="38" t="str">
        <f>HYPERLINK("#'Json-dokumentation'!A1203", "DagligSOFA")</f>
        <v>DagligSOFA</v>
      </c>
      <c r="C19" s="45" t="s">
        <v>15</v>
      </c>
      <c r="D19" s="46"/>
      <c r="E19" s="46"/>
      <c r="F19" s="46"/>
      <c r="G19" s="46"/>
      <c r="H19" s="46"/>
      <c r="I19" s="46"/>
      <c r="J19" s="47"/>
    </row>
    <row r="20" spans="2:10" ht="63.4" customHeight="1" x14ac:dyDescent="0.25">
      <c r="B20" s="38" t="str">
        <f>HYPERLINK("#'Json-dokumentation'!A1380", "Avliden2009")</f>
        <v>Avliden2009</v>
      </c>
      <c r="C20" s="45" t="s">
        <v>16</v>
      </c>
      <c r="D20" s="46"/>
      <c r="E20" s="46"/>
      <c r="F20" s="46"/>
      <c r="G20" s="46"/>
      <c r="H20" s="46"/>
      <c r="I20" s="46"/>
      <c r="J20" s="47"/>
    </row>
    <row r="21" spans="2:10" ht="92.25" customHeight="1" x14ac:dyDescent="0.25">
      <c r="B21" s="38" t="str">
        <f>HYPERLINK("#'Json-dokumentation'!A1469", "Avliden2016")</f>
        <v>Avliden2016</v>
      </c>
      <c r="C21" s="45" t="s">
        <v>17</v>
      </c>
      <c r="D21" s="46"/>
      <c r="E21" s="46"/>
      <c r="F21" s="46"/>
      <c r="G21" s="46"/>
      <c r="H21" s="46"/>
      <c r="I21" s="46"/>
      <c r="J21" s="47"/>
    </row>
    <row r="22" spans="2:10" ht="63.4" customHeight="1" x14ac:dyDescent="0.25">
      <c r="B22" s="38" t="str">
        <f>HYPERLINK("#'Json-dokumentation'!A1570", "Avliden2020")</f>
        <v>Avliden2020</v>
      </c>
      <c r="C22" s="45" t="s">
        <v>18</v>
      </c>
      <c r="D22" s="46"/>
      <c r="E22" s="46"/>
      <c r="F22" s="46"/>
      <c r="G22" s="46"/>
      <c r="H22" s="46"/>
      <c r="I22" s="46"/>
      <c r="J22" s="47"/>
    </row>
    <row r="23" spans="2:10" ht="63.4" customHeight="1" x14ac:dyDescent="0.25">
      <c r="B23" s="38" t="str">
        <f>HYPERLINK("#'Json-dokumentation'!A1755", "Avliden2024")</f>
        <v>Avliden2024</v>
      </c>
      <c r="C23" s="45" t="s">
        <v>19</v>
      </c>
      <c r="D23" s="46"/>
      <c r="E23" s="46"/>
      <c r="F23" s="46"/>
      <c r="G23" s="46"/>
      <c r="H23" s="46"/>
      <c r="I23" s="46"/>
      <c r="J23" s="47"/>
    </row>
    <row r="24" spans="2:10" ht="34.35" customHeight="1" x14ac:dyDescent="0.25">
      <c r="B24" s="38" t="str">
        <f>HYPERLINK("#'Json-dokumentation'!A1980", "ViktOchLängd")</f>
        <v>ViktOchLängd</v>
      </c>
      <c r="C24" s="45" t="s">
        <v>20</v>
      </c>
      <c r="D24" s="46"/>
      <c r="E24" s="46"/>
      <c r="F24" s="46"/>
      <c r="G24" s="46"/>
      <c r="H24" s="46"/>
      <c r="I24" s="46"/>
      <c r="J24" s="47"/>
    </row>
    <row r="25" spans="2:10" ht="19.899999999999999" customHeight="1" x14ac:dyDescent="0.25">
      <c r="B25" s="38" t="str">
        <f>HYPERLINK("#'Json-dokumentation'!A2019", "Komplikation2012")</f>
        <v>Komplikation2012</v>
      </c>
      <c r="C25" s="45" t="s">
        <v>21</v>
      </c>
      <c r="D25" s="46"/>
      <c r="E25" s="46"/>
      <c r="F25" s="46"/>
      <c r="G25" s="46"/>
      <c r="H25" s="46"/>
      <c r="I25" s="46"/>
      <c r="J25" s="47"/>
    </row>
    <row r="26" spans="2:10" ht="77.849999999999994" customHeight="1" x14ac:dyDescent="0.25">
      <c r="B26" s="38" t="str">
        <f>HYPERLINK("#'Json-dokumentation'!A2050", "VTS5")</f>
        <v>VTS5</v>
      </c>
      <c r="C26" s="45" t="s">
        <v>22</v>
      </c>
      <c r="D26" s="46"/>
      <c r="E26" s="46"/>
      <c r="F26" s="46"/>
      <c r="G26" s="46"/>
      <c r="H26" s="46"/>
      <c r="I26" s="46"/>
      <c r="J26" s="47"/>
    </row>
    <row r="27" spans="2:10" ht="48.95" customHeight="1" x14ac:dyDescent="0.25">
      <c r="B27" s="38" t="str">
        <f>HYPERLINK("#'Json-dokumentation'!A2147", "VTS2014")</f>
        <v>VTS2014</v>
      </c>
      <c r="C27" s="45" t="s">
        <v>23</v>
      </c>
      <c r="D27" s="46"/>
      <c r="E27" s="46"/>
      <c r="F27" s="46"/>
      <c r="G27" s="46"/>
      <c r="H27" s="46"/>
      <c r="I27" s="46"/>
      <c r="J27" s="47"/>
    </row>
    <row r="28" spans="2:10" ht="63.4" customHeight="1" x14ac:dyDescent="0.25">
      <c r="B28" s="38" t="str">
        <f>HYPERLINK("#'Json-dokumentation'!A2239", "NEMS")</f>
        <v>NEMS</v>
      </c>
      <c r="C28" s="45" t="s">
        <v>24</v>
      </c>
      <c r="D28" s="46"/>
      <c r="E28" s="46"/>
      <c r="F28" s="46"/>
      <c r="G28" s="46"/>
      <c r="H28" s="46"/>
      <c r="I28" s="46"/>
      <c r="J28" s="47"/>
    </row>
    <row r="29" spans="2:10" ht="106.7" customHeight="1" x14ac:dyDescent="0.25">
      <c r="B29" s="38" t="str">
        <f>HYPERLINK("#'Json-dokumentation'!A2301", "Åtgärd")</f>
        <v>Åtgärd</v>
      </c>
      <c r="C29" s="45" t="s">
        <v>25</v>
      </c>
      <c r="D29" s="46"/>
      <c r="E29" s="46"/>
      <c r="F29" s="46"/>
      <c r="G29" s="46"/>
      <c r="H29" s="46"/>
      <c r="I29" s="46"/>
      <c r="J29" s="47"/>
    </row>
    <row r="30" spans="2:10" ht="121.15" customHeight="1" x14ac:dyDescent="0.25">
      <c r="B30" s="38" t="str">
        <f>HYPERLINK("#'Json-dokumentation'!A2344", "DiagnosKod")</f>
        <v>DiagnosKod</v>
      </c>
      <c r="C30" s="45" t="s">
        <v>26</v>
      </c>
      <c r="D30" s="46"/>
      <c r="E30" s="46"/>
      <c r="F30" s="46"/>
      <c r="G30" s="46"/>
      <c r="H30" s="46"/>
      <c r="I30" s="46"/>
      <c r="J30" s="47"/>
    </row>
    <row r="31" spans="2:10" ht="19.899999999999999" customHeight="1" x14ac:dyDescent="0.25">
      <c r="B31" s="38" t="str">
        <f>HYPERLINK("#'Json-dokumentation'!A2367", "Sederingsmål")</f>
        <v>Sederingsmål</v>
      </c>
      <c r="C31" s="45" t="s">
        <v>27</v>
      </c>
      <c r="D31" s="46"/>
      <c r="E31" s="46"/>
      <c r="F31" s="46"/>
      <c r="G31" s="46"/>
      <c r="H31" s="46"/>
      <c r="I31" s="46"/>
      <c r="J31" s="47"/>
    </row>
    <row r="32" spans="2:10" ht="19.899999999999999" customHeight="1" x14ac:dyDescent="0.25">
      <c r="B32" s="38" t="str">
        <f>HYPERLINK("#'Json-dokumentation'!A2412", "OmvårdnadSmärta")</f>
        <v>OmvårdnadSmärta</v>
      </c>
      <c r="C32" s="45" t="s">
        <v>28</v>
      </c>
      <c r="D32" s="46"/>
      <c r="E32" s="46"/>
      <c r="F32" s="46"/>
      <c r="G32" s="46"/>
      <c r="H32" s="46"/>
      <c r="I32" s="46"/>
      <c r="J32" s="47"/>
    </row>
    <row r="33" spans="2:10" ht="19.899999999999999" customHeight="1" x14ac:dyDescent="0.25">
      <c r="B33" s="38" t="str">
        <f>HYPERLINK("#'Json-dokumentation'!A2519", "OmvårdnadSedering")</f>
        <v>OmvårdnadSedering</v>
      </c>
      <c r="C33" s="45" t="s">
        <v>29</v>
      </c>
      <c r="D33" s="46"/>
      <c r="E33" s="46"/>
      <c r="F33" s="46"/>
      <c r="G33" s="46"/>
      <c r="H33" s="46"/>
      <c r="I33" s="46"/>
      <c r="J33" s="47"/>
    </row>
    <row r="34" spans="2:10" ht="19.899999999999999" customHeight="1" x14ac:dyDescent="0.25">
      <c r="B34" s="38" t="str">
        <f>HYPERLINK("#'Json-dokumentation'!A2655", "OmvårdnadDelirium")</f>
        <v>OmvårdnadDelirium</v>
      </c>
      <c r="C34" s="45" t="s">
        <v>30</v>
      </c>
      <c r="D34" s="46"/>
      <c r="E34" s="46"/>
      <c r="F34" s="46"/>
      <c r="G34" s="46"/>
      <c r="H34" s="46"/>
      <c r="I34" s="46"/>
      <c r="J34" s="47"/>
    </row>
    <row r="35" spans="2:10" ht="150.19999999999999" customHeight="1" x14ac:dyDescent="0.25">
      <c r="B35" s="38" t="str">
        <f>HYPERLINK("#'Json-dokumentation'!A2743", "Intagningsorsaker")</f>
        <v>Intagningsorsaker</v>
      </c>
      <c r="C35" s="45" t="s">
        <v>31</v>
      </c>
      <c r="D35" s="46"/>
      <c r="E35" s="46"/>
      <c r="F35" s="46"/>
      <c r="G35" s="46"/>
      <c r="H35" s="46"/>
      <c r="I35" s="46"/>
      <c r="J35" s="47"/>
    </row>
    <row r="36" spans="2:10" ht="19.899999999999999" customHeight="1" x14ac:dyDescent="0.25">
      <c r="B36" s="38" t="str">
        <f>HYPERLINK("#'Json-dokumentation'!A2858", "FörsenadUtskrivning")</f>
        <v>FörsenadUtskrivning</v>
      </c>
      <c r="C36" s="45" t="s">
        <v>32</v>
      </c>
      <c r="D36" s="46"/>
      <c r="E36" s="46"/>
      <c r="F36" s="46"/>
      <c r="G36" s="46"/>
      <c r="H36" s="46"/>
      <c r="I36" s="46"/>
      <c r="J36" s="47"/>
    </row>
    <row r="37" spans="2:10" ht="150.19999999999999" customHeight="1" x14ac:dyDescent="0.25">
      <c r="B37" s="38" t="str">
        <f>HYPERLINK("#'Json-dokumentation'!A2870", "SOFA")</f>
        <v>SOFA</v>
      </c>
      <c r="C37" s="45" t="s">
        <v>33</v>
      </c>
      <c r="D37" s="46"/>
      <c r="E37" s="46"/>
      <c r="F37" s="46"/>
      <c r="G37" s="46"/>
      <c r="H37" s="46"/>
      <c r="I37" s="46"/>
      <c r="J37" s="47"/>
    </row>
    <row r="38" spans="2:10" ht="48.95" customHeight="1" x14ac:dyDescent="0.25">
      <c r="B38" s="38" t="str">
        <f>HYPERLINK("#'Json-dokumentation'!A3043", "MöjligDonator2009")</f>
        <v>MöjligDonator2009</v>
      </c>
      <c r="C38" s="45" t="s">
        <v>34</v>
      </c>
      <c r="D38" s="46"/>
      <c r="E38" s="46"/>
      <c r="F38" s="46"/>
      <c r="G38" s="46"/>
      <c r="H38" s="46"/>
      <c r="I38" s="46"/>
      <c r="J38" s="47"/>
    </row>
    <row r="39" spans="2:10" ht="19.899999999999999" customHeight="1" x14ac:dyDescent="0.25">
      <c r="B39" s="38" t="str">
        <f>HYPERLINK("#'Json-dokumentation'!A3066", "BeslutadOrgandonation2009")</f>
        <v>BeslutadOrgandonation2009</v>
      </c>
      <c r="C39" s="45" t="s">
        <v>35</v>
      </c>
      <c r="D39" s="46"/>
      <c r="E39" s="46"/>
      <c r="F39" s="46"/>
      <c r="G39" s="46"/>
      <c r="H39" s="46"/>
      <c r="I39" s="46"/>
      <c r="J39" s="47"/>
    </row>
    <row r="40" spans="2:10" ht="19.899999999999999" customHeight="1" x14ac:dyDescent="0.25">
      <c r="B40" s="38" t="str">
        <f>HYPERLINK("#'Json-dokumentation'!A3087", "MöjligDonator2016")</f>
        <v>MöjligDonator2016</v>
      </c>
      <c r="C40" s="45" t="s">
        <v>36</v>
      </c>
      <c r="D40" s="46"/>
      <c r="E40" s="46"/>
      <c r="F40" s="46"/>
      <c r="G40" s="46"/>
      <c r="H40" s="46"/>
      <c r="I40" s="46"/>
      <c r="J40" s="47"/>
    </row>
    <row r="41" spans="2:10" ht="63.4" customHeight="1" x14ac:dyDescent="0.25">
      <c r="B41" s="38" t="str">
        <f>HYPERLINK("#'Json-dokumentation'!A3114", "DagligVikt")</f>
        <v>DagligVikt</v>
      </c>
      <c r="C41" s="45" t="s">
        <v>37</v>
      </c>
      <c r="D41" s="46"/>
      <c r="E41" s="46"/>
      <c r="F41" s="46"/>
      <c r="G41" s="46"/>
      <c r="H41" s="46"/>
      <c r="I41" s="46"/>
      <c r="J41" s="47"/>
    </row>
    <row r="42" spans="2:10" ht="19.899999999999999" customHeight="1" x14ac:dyDescent="0.25">
      <c r="B42" s="38" t="str">
        <f>HYPERLINK("#'Json-dokumentation'!A3128", "BPS")</f>
        <v>BPS</v>
      </c>
      <c r="C42" s="45" t="s">
        <v>38</v>
      </c>
      <c r="D42" s="46"/>
      <c r="E42" s="46"/>
      <c r="F42" s="46"/>
      <c r="G42" s="46"/>
      <c r="H42" s="46"/>
      <c r="I42" s="46"/>
      <c r="J42" s="47"/>
    </row>
    <row r="43" spans="2:10" ht="19.899999999999999" customHeight="1" x14ac:dyDescent="0.25">
      <c r="B43" s="38" t="str">
        <f>HYPERLINK("#'Json-dokumentation'!A3165", "CPOT")</f>
        <v>CPOT</v>
      </c>
      <c r="C43" s="45" t="s">
        <v>39</v>
      </c>
      <c r="D43" s="46"/>
      <c r="E43" s="46"/>
      <c r="F43" s="46"/>
      <c r="G43" s="46"/>
      <c r="H43" s="46"/>
      <c r="I43" s="46"/>
      <c r="J43" s="47"/>
    </row>
    <row r="44" spans="2:10" ht="19.899999999999999" customHeight="1" x14ac:dyDescent="0.25">
      <c r="B44" s="38" t="str">
        <f>HYPERLINK("#'Json-dokumentation'!A3205", "OmvårdnadSmärtaUppföljning")</f>
        <v>OmvårdnadSmärtaUppföljning</v>
      </c>
      <c r="C44" s="45" t="s">
        <v>40</v>
      </c>
      <c r="D44" s="46"/>
      <c r="E44" s="46"/>
      <c r="F44" s="46"/>
      <c r="G44" s="46"/>
      <c r="H44" s="46"/>
      <c r="I44" s="46"/>
      <c r="J44" s="47"/>
    </row>
    <row r="45" spans="2:10" ht="19.899999999999999" customHeight="1" x14ac:dyDescent="0.25">
      <c r="B45" s="38" t="str">
        <f>HYPERLINK("#'Json-dokumentation'!A3237", "OmvårdnadDeliriumNuDesc")</f>
        <v>OmvårdnadDeliriumNuDesc</v>
      </c>
      <c r="C45" s="45" t="s">
        <v>41</v>
      </c>
      <c r="D45" s="46"/>
      <c r="E45" s="46"/>
      <c r="F45" s="46"/>
      <c r="G45" s="46"/>
      <c r="H45" s="46"/>
      <c r="I45" s="46"/>
      <c r="J45" s="47"/>
    </row>
    <row r="46" spans="2:10" ht="19.899999999999999" customHeight="1" x14ac:dyDescent="0.25">
      <c r="B46" s="38" t="str">
        <f>HYPERLINK("#'Json-dokumentation'!A3288", "DonatorInställningKänd2009")</f>
        <v>DonatorInställningKänd2009</v>
      </c>
      <c r="C46" s="45" t="s">
        <v>42</v>
      </c>
      <c r="D46" s="46"/>
      <c r="E46" s="46"/>
      <c r="F46" s="46"/>
      <c r="G46" s="46"/>
      <c r="H46" s="46"/>
      <c r="I46" s="46"/>
      <c r="J46" s="47"/>
    </row>
    <row r="47" spans="2:10" ht="19.899999999999999" customHeight="1" x14ac:dyDescent="0.25">
      <c r="B47" s="38" t="str">
        <f>HYPERLINK("#'Json-dokumentation'!A3305", "DonatorInställningKänd2016")</f>
        <v>DonatorInställningKänd2016</v>
      </c>
      <c r="C47" s="45" t="s">
        <v>43</v>
      </c>
      <c r="D47" s="46"/>
      <c r="E47" s="46"/>
      <c r="F47" s="46"/>
      <c r="G47" s="46"/>
      <c r="H47" s="46"/>
      <c r="I47" s="46"/>
      <c r="J47" s="47"/>
    </row>
    <row r="48" spans="2:10" ht="19.899999999999999" customHeight="1" x14ac:dyDescent="0.25">
      <c r="B48" s="38" t="str">
        <f>HYPERLINK("#'Json-dokumentation'!A3322", "BeslutadOrgandonation2016")</f>
        <v>BeslutadOrgandonation2016</v>
      </c>
      <c r="C48" s="45" t="s">
        <v>44</v>
      </c>
      <c r="D48" s="46"/>
      <c r="E48" s="46"/>
      <c r="F48" s="46"/>
      <c r="G48" s="46"/>
      <c r="H48" s="46"/>
      <c r="I48" s="46"/>
      <c r="J48" s="47"/>
    </row>
    <row r="49" spans="2:10" ht="19.899999999999999" customHeight="1" x14ac:dyDescent="0.25">
      <c r="B49" s="38" t="str">
        <f>HYPERLINK("#'Json-dokumentation'!A3345", "BPS")</f>
        <v>BPS</v>
      </c>
      <c r="C49" s="45" t="s">
        <v>38</v>
      </c>
      <c r="D49" s="46"/>
      <c r="E49" s="46"/>
      <c r="F49" s="46"/>
      <c r="G49" s="46"/>
      <c r="H49" s="46"/>
      <c r="I49" s="46"/>
      <c r="J49" s="47"/>
    </row>
    <row r="50" spans="2:10" ht="19.899999999999999" customHeight="1" x14ac:dyDescent="0.25">
      <c r="B50" s="38" t="str">
        <f>HYPERLINK("#'Json-dokumentation'!A3382", "CPOT")</f>
        <v>CPOT</v>
      </c>
      <c r="C50" s="45" t="s">
        <v>39</v>
      </c>
      <c r="D50" s="46"/>
      <c r="E50" s="46"/>
      <c r="F50" s="46"/>
      <c r="G50" s="46"/>
      <c r="H50" s="46"/>
      <c r="I50" s="46"/>
      <c r="J50" s="47"/>
    </row>
    <row r="51" spans="2:10" x14ac:dyDescent="0.25">
      <c r="B51" s="23"/>
      <c r="J51" s="26"/>
    </row>
    <row r="52" spans="2:10" ht="19.899999999999999" customHeight="1" x14ac:dyDescent="0.25">
      <c r="B52" s="39" t="str">
        <f>HYPERLINK("#'Json-dokumentation'!A3421", "Fotnot")</f>
        <v>Fotnot</v>
      </c>
      <c r="C52" s="48" t="s">
        <v>45</v>
      </c>
      <c r="D52" s="49"/>
      <c r="E52" s="49"/>
      <c r="F52" s="49"/>
      <c r="G52" s="49"/>
      <c r="H52" s="49"/>
      <c r="I52" s="49"/>
      <c r="J52" s="50"/>
    </row>
  </sheetData>
  <mergeCells count="48">
    <mergeCell ref="C49:J49"/>
    <mergeCell ref="C50:J50"/>
    <mergeCell ref="C52:J52"/>
    <mergeCell ref="C44:J44"/>
    <mergeCell ref="C45:J45"/>
    <mergeCell ref="C46:J46"/>
    <mergeCell ref="C47:J47"/>
    <mergeCell ref="C48:J48"/>
    <mergeCell ref="C39:J39"/>
    <mergeCell ref="C40:J40"/>
    <mergeCell ref="C41:J41"/>
    <mergeCell ref="C42:J42"/>
    <mergeCell ref="C43:J43"/>
    <mergeCell ref="C34:J34"/>
    <mergeCell ref="C35:J35"/>
    <mergeCell ref="C36:J36"/>
    <mergeCell ref="C37:J37"/>
    <mergeCell ref="C38:J38"/>
    <mergeCell ref="C29:J29"/>
    <mergeCell ref="C30:J30"/>
    <mergeCell ref="C31:J31"/>
    <mergeCell ref="C32:J32"/>
    <mergeCell ref="C33:J33"/>
    <mergeCell ref="C24:J24"/>
    <mergeCell ref="C25:J25"/>
    <mergeCell ref="C26:J26"/>
    <mergeCell ref="C27:J27"/>
    <mergeCell ref="C28:J28"/>
    <mergeCell ref="C19:J19"/>
    <mergeCell ref="C20:J20"/>
    <mergeCell ref="C21:J21"/>
    <mergeCell ref="C22:J22"/>
    <mergeCell ref="C23:J23"/>
    <mergeCell ref="C14:J14"/>
    <mergeCell ref="C15:J15"/>
    <mergeCell ref="C16:J16"/>
    <mergeCell ref="C17:J17"/>
    <mergeCell ref="C18:J18"/>
    <mergeCell ref="C9:J9"/>
    <mergeCell ref="C10:J10"/>
    <mergeCell ref="C11:J11"/>
    <mergeCell ref="C12:J12"/>
    <mergeCell ref="C13:J13"/>
    <mergeCell ref="A1:AD1"/>
    <mergeCell ref="C5:J5"/>
    <mergeCell ref="C6:J6"/>
    <mergeCell ref="C7:J7"/>
    <mergeCell ref="C8:J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421"/>
  <sheetViews>
    <sheetView workbookViewId="0"/>
  </sheetViews>
  <sheetFormatPr defaultRowHeight="15" x14ac:dyDescent="0.25"/>
  <cols>
    <col min="1" max="1" width="44.7109375" customWidth="1"/>
    <col min="2" max="2" width="44.85546875" customWidth="1"/>
    <col min="3" max="3" width="53.85546875" customWidth="1"/>
    <col min="4" max="9" width="9.140625" customWidth="1"/>
    <col min="10" max="10" width="122.140625" customWidth="1"/>
  </cols>
  <sheetData>
    <row r="1" spans="1:30" s="1" customFormat="1" ht="19.5" x14ac:dyDescent="0.3">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5" spans="1:30" ht="48.95" customHeight="1" x14ac:dyDescent="0.25">
      <c r="A5" s="45" t="s">
        <v>1</v>
      </c>
      <c r="B5" s="46"/>
      <c r="C5" s="46"/>
      <c r="D5" s="46"/>
      <c r="E5" s="46"/>
      <c r="F5" s="46"/>
    </row>
    <row r="6" spans="1:30" ht="18.75" x14ac:dyDescent="0.25">
      <c r="A6" s="16" t="s">
        <v>46</v>
      </c>
      <c r="B6" s="3" t="s">
        <v>47</v>
      </c>
    </row>
    <row r="7" spans="1:30" ht="19.899999999999999" customHeight="1" x14ac:dyDescent="0.25">
      <c r="A7" s="17" t="str">
        <f>HYPERLINK("#'Ändringshistorik'!C7", "Ändringshistorik: [1] ,[16] ,[25] ,[92] ,[131] ,[174] ,[200] ,[225] ,[238]")</f>
        <v>Ändringshistorik: [1] ,[16] ,[25] ,[92] ,[131] ,[174] ,[200] ,[225] ,[238]</v>
      </c>
      <c r="B7" s="22" t="s">
        <v>48</v>
      </c>
      <c r="C7" s="20" t="s">
        <v>49</v>
      </c>
      <c r="D7" s="42" t="s">
        <v>50</v>
      </c>
      <c r="E7" s="43"/>
      <c r="F7" s="43"/>
      <c r="G7" s="43"/>
      <c r="H7" s="43"/>
      <c r="I7" s="44"/>
      <c r="J7" s="17" t="str">
        <f>HYPERLINK("#'Ändringshistorik'!C163", "Ändringshistorik: [175] ,[176] ,[177]")</f>
        <v>Ändringshistorik: [175] ,[176] ,[177]</v>
      </c>
    </row>
    <row r="8" spans="1:30" ht="19.899999999999999" customHeight="1" x14ac:dyDescent="0.25">
      <c r="B8" s="23"/>
      <c r="C8" s="2" t="s">
        <v>51</v>
      </c>
      <c r="D8" s="45" t="s">
        <v>52</v>
      </c>
      <c r="E8" s="46"/>
      <c r="F8" s="46"/>
      <c r="G8" s="46"/>
      <c r="H8" s="46"/>
      <c r="I8" s="47"/>
    </row>
    <row r="9" spans="1:30" ht="19.899999999999999" customHeight="1" x14ac:dyDescent="0.25">
      <c r="B9" s="23"/>
      <c r="C9" s="2" t="s">
        <v>53</v>
      </c>
      <c r="D9" s="45" t="s">
        <v>54</v>
      </c>
      <c r="E9" s="46"/>
      <c r="F9" s="46"/>
      <c r="G9" s="46"/>
      <c r="H9" s="46"/>
      <c r="I9" s="47"/>
    </row>
    <row r="10" spans="1:30" x14ac:dyDescent="0.25">
      <c r="B10" s="23"/>
      <c r="I10" s="26"/>
    </row>
    <row r="11" spans="1:30" x14ac:dyDescent="0.25">
      <c r="B11" s="23"/>
      <c r="C11" s="51" t="s">
        <v>55</v>
      </c>
      <c r="D11" s="46"/>
      <c r="E11" s="46"/>
      <c r="F11" s="46"/>
      <c r="G11" s="46"/>
      <c r="H11" s="46"/>
      <c r="I11" s="47"/>
    </row>
    <row r="12" spans="1:30" x14ac:dyDescent="0.25">
      <c r="B12" s="23"/>
      <c r="I12" s="26"/>
    </row>
    <row r="13" spans="1:30" ht="19.899999999999999" customHeight="1" x14ac:dyDescent="0.25">
      <c r="B13" s="24" t="s">
        <v>56</v>
      </c>
      <c r="C13" s="19" t="str">
        <f>HYPERLINK("#'Json-dokumentation'!A23", "Element av typen 'Innehåll'")</f>
        <v>Element av typen 'Innehåll'</v>
      </c>
      <c r="D13" s="52" t="s">
        <v>57</v>
      </c>
      <c r="E13" s="53"/>
      <c r="F13" s="53"/>
      <c r="G13" s="53"/>
      <c r="H13" s="53"/>
      <c r="I13" s="54"/>
      <c r="J13" s="17" t="str">
        <f>HYPERLINK("#'Ändringshistorik'!C169", "Ändringshistorik: [181]")</f>
        <v>Ändringshistorik: [181]</v>
      </c>
    </row>
    <row r="14" spans="1:30" x14ac:dyDescent="0.25">
      <c r="B14" s="23"/>
      <c r="C14" s="51" t="s">
        <v>55</v>
      </c>
      <c r="D14" s="46"/>
      <c r="E14" s="46"/>
      <c r="F14" s="46"/>
      <c r="G14" s="46"/>
      <c r="H14" s="46"/>
      <c r="I14" s="47"/>
    </row>
    <row r="15" spans="1:30" x14ac:dyDescent="0.25">
      <c r="B15" s="23"/>
      <c r="I15" s="26"/>
    </row>
    <row r="16" spans="1:30" ht="19.899999999999999" customHeight="1" x14ac:dyDescent="0.25">
      <c r="B16" s="24" t="s">
        <v>58</v>
      </c>
      <c r="C16" s="19" t="str">
        <f>HYPERLINK("#'Json-dokumentation'!A61", "Ett eller flera element av typen 'Vårdtillfälle'")</f>
        <v>Ett eller flera element av typen 'Vårdtillfälle'</v>
      </c>
      <c r="D16" s="52" t="s">
        <v>59</v>
      </c>
      <c r="E16" s="53"/>
      <c r="F16" s="53"/>
      <c r="G16" s="53"/>
      <c r="H16" s="53"/>
      <c r="I16" s="54"/>
      <c r="J16" s="17" t="str">
        <f>HYPERLINK("#'Ändringshistorik'!C226", "Ändringshistorik: [130]")</f>
        <v>Ändringshistorik: [130]</v>
      </c>
    </row>
    <row r="17" spans="1:10" x14ac:dyDescent="0.25">
      <c r="B17" s="23"/>
      <c r="C17" s="55" t="s">
        <v>60</v>
      </c>
      <c r="D17" s="46"/>
      <c r="E17" s="46"/>
      <c r="F17" s="46"/>
      <c r="G17" s="46"/>
      <c r="H17" s="46"/>
      <c r="I17" s="47"/>
    </row>
    <row r="18" spans="1:10" x14ac:dyDescent="0.25">
      <c r="B18" s="25"/>
      <c r="C18" s="21"/>
      <c r="D18" s="21"/>
      <c r="E18" s="21"/>
      <c r="F18" s="21"/>
      <c r="G18" s="21"/>
      <c r="H18" s="21"/>
      <c r="I18" s="27"/>
    </row>
    <row r="22" spans="1:10" ht="19.899999999999999" customHeight="1" x14ac:dyDescent="0.25">
      <c r="A22" s="45" t="s">
        <v>2</v>
      </c>
      <c r="B22" s="46"/>
      <c r="C22" s="46"/>
      <c r="D22" s="46"/>
      <c r="E22" s="46"/>
      <c r="F22" s="46"/>
      <c r="G22" s="46"/>
      <c r="H22" s="46"/>
      <c r="I22" s="46"/>
    </row>
    <row r="23" spans="1:10" ht="18.75" x14ac:dyDescent="0.25">
      <c r="A23" s="16" t="s">
        <v>61</v>
      </c>
      <c r="B23" s="3" t="s">
        <v>47</v>
      </c>
      <c r="J23" s="17" t="str">
        <f>HYPERLINK("#'Ändringshistorik'!C169", "Ändringshistorik: [181]")</f>
        <v>Ändringshistorik: [181]</v>
      </c>
    </row>
    <row r="24" spans="1:10" ht="19.899999999999999" customHeight="1" x14ac:dyDescent="0.25">
      <c r="B24" s="22" t="s">
        <v>62</v>
      </c>
      <c r="C24" s="20" t="s">
        <v>49</v>
      </c>
      <c r="D24" s="42" t="s">
        <v>63</v>
      </c>
      <c r="E24" s="43"/>
      <c r="F24" s="43"/>
      <c r="G24" s="43"/>
      <c r="H24" s="43"/>
      <c r="I24" s="44"/>
    </row>
    <row r="25" spans="1:10" ht="19.899999999999999" customHeight="1" x14ac:dyDescent="0.25">
      <c r="B25" s="23"/>
      <c r="C25" s="2" t="s">
        <v>64</v>
      </c>
      <c r="D25" s="45" t="s">
        <v>65</v>
      </c>
      <c r="E25" s="46"/>
      <c r="F25" s="46"/>
      <c r="G25" s="46"/>
      <c r="H25" s="46"/>
      <c r="I25" s="47"/>
    </row>
    <row r="26" spans="1:10" ht="19.899999999999999" customHeight="1" x14ac:dyDescent="0.25">
      <c r="B26" s="23"/>
      <c r="C26" s="2" t="s">
        <v>66</v>
      </c>
      <c r="D26" s="45" t="s">
        <v>67</v>
      </c>
      <c r="E26" s="46"/>
      <c r="F26" s="46"/>
      <c r="G26" s="46"/>
      <c r="H26" s="46"/>
      <c r="I26" s="47"/>
    </row>
    <row r="27" spans="1:10" x14ac:dyDescent="0.25">
      <c r="B27" s="23"/>
      <c r="I27" s="26"/>
    </row>
    <row r="28" spans="1:10" x14ac:dyDescent="0.25">
      <c r="B28" s="23"/>
      <c r="C28" s="51" t="s">
        <v>55</v>
      </c>
      <c r="D28" s="46"/>
      <c r="E28" s="46"/>
      <c r="F28" s="46"/>
      <c r="G28" s="46"/>
      <c r="H28" s="46"/>
      <c r="I28" s="47"/>
    </row>
    <row r="29" spans="1:10" x14ac:dyDescent="0.25">
      <c r="B29" s="23"/>
      <c r="I29" s="26"/>
    </row>
    <row r="30" spans="1:10" ht="48.95" customHeight="1" x14ac:dyDescent="0.25">
      <c r="B30" s="24" t="s">
        <v>68</v>
      </c>
      <c r="C30" s="19" t="s">
        <v>69</v>
      </c>
      <c r="D30" s="52" t="s">
        <v>70</v>
      </c>
      <c r="E30" s="53"/>
      <c r="F30" s="53"/>
      <c r="G30" s="53"/>
      <c r="H30" s="53"/>
      <c r="I30" s="54"/>
    </row>
    <row r="31" spans="1:10" x14ac:dyDescent="0.25">
      <c r="B31" s="23"/>
      <c r="C31" s="2" t="s">
        <v>71</v>
      </c>
      <c r="I31" s="26"/>
    </row>
    <row r="32" spans="1:10" x14ac:dyDescent="0.25">
      <c r="B32" s="23"/>
      <c r="I32" s="26"/>
    </row>
    <row r="33" spans="2:10" x14ac:dyDescent="0.25">
      <c r="B33" s="23"/>
      <c r="C33" s="51" t="s">
        <v>55</v>
      </c>
      <c r="D33" s="46"/>
      <c r="E33" s="46"/>
      <c r="F33" s="46"/>
      <c r="G33" s="46"/>
      <c r="H33" s="46"/>
      <c r="I33" s="47"/>
    </row>
    <row r="34" spans="2:10" x14ac:dyDescent="0.25">
      <c r="B34" s="23"/>
      <c r="I34" s="26"/>
    </row>
    <row r="35" spans="2:10" ht="34.35" customHeight="1" x14ac:dyDescent="0.25">
      <c r="B35" s="24" t="s">
        <v>72</v>
      </c>
      <c r="C35" s="19" t="s">
        <v>73</v>
      </c>
      <c r="D35" s="52" t="s">
        <v>74</v>
      </c>
      <c r="E35" s="53"/>
      <c r="F35" s="53"/>
      <c r="G35" s="53"/>
      <c r="H35" s="53"/>
      <c r="I35" s="54"/>
    </row>
    <row r="36" spans="2:10" x14ac:dyDescent="0.25">
      <c r="B36" s="23"/>
      <c r="I36" s="26"/>
    </row>
    <row r="37" spans="2:10" x14ac:dyDescent="0.25">
      <c r="B37" s="23"/>
      <c r="C37" s="51" t="s">
        <v>55</v>
      </c>
      <c r="D37" s="46"/>
      <c r="E37" s="46"/>
      <c r="F37" s="46"/>
      <c r="G37" s="46"/>
      <c r="H37" s="46"/>
      <c r="I37" s="47"/>
    </row>
    <row r="38" spans="2:10" x14ac:dyDescent="0.25">
      <c r="B38" s="23"/>
      <c r="I38" s="26"/>
    </row>
    <row r="39" spans="2:10" ht="222.4" customHeight="1" x14ac:dyDescent="0.25">
      <c r="B39" s="24" t="s">
        <v>75</v>
      </c>
      <c r="C39" s="19" t="s">
        <v>73</v>
      </c>
      <c r="D39" s="52" t="s">
        <v>76</v>
      </c>
      <c r="E39" s="53"/>
      <c r="F39" s="53"/>
      <c r="G39" s="53"/>
      <c r="H39" s="53"/>
      <c r="I39" s="54"/>
      <c r="J39" s="17" t="str">
        <f>HYPERLINK("#'Ändringshistorik'!C166", "Ändringshistorik: [178] ,[179]")</f>
        <v>Ändringshistorik: [178] ,[179]</v>
      </c>
    </row>
    <row r="40" spans="2:10" x14ac:dyDescent="0.25">
      <c r="B40" s="23"/>
      <c r="I40" s="26"/>
    </row>
    <row r="41" spans="2:10" x14ac:dyDescent="0.25">
      <c r="B41" s="23"/>
      <c r="C41" s="51" t="s">
        <v>55</v>
      </c>
      <c r="D41" s="46"/>
      <c r="E41" s="46"/>
      <c r="F41" s="46"/>
      <c r="G41" s="46"/>
      <c r="H41" s="46"/>
      <c r="I41" s="47"/>
    </row>
    <row r="42" spans="2:10" x14ac:dyDescent="0.25">
      <c r="B42" s="23"/>
      <c r="I42" s="26"/>
    </row>
    <row r="43" spans="2:10" ht="48.95" customHeight="1" x14ac:dyDescent="0.25">
      <c r="B43" s="24" t="s">
        <v>77</v>
      </c>
      <c r="C43" s="19" t="s">
        <v>73</v>
      </c>
      <c r="D43" s="52" t="s">
        <v>78</v>
      </c>
      <c r="E43" s="53"/>
      <c r="F43" s="53"/>
      <c r="G43" s="53"/>
      <c r="H43" s="53"/>
      <c r="I43" s="54"/>
    </row>
    <row r="44" spans="2:10" x14ac:dyDescent="0.25">
      <c r="B44" s="23"/>
      <c r="I44" s="26"/>
    </row>
    <row r="45" spans="2:10" x14ac:dyDescent="0.25">
      <c r="B45" s="23"/>
      <c r="C45" s="51" t="s">
        <v>55</v>
      </c>
      <c r="D45" s="46"/>
      <c r="E45" s="46"/>
      <c r="F45" s="46"/>
      <c r="G45" s="46"/>
      <c r="H45" s="46"/>
      <c r="I45" s="47"/>
    </row>
    <row r="46" spans="2:10" x14ac:dyDescent="0.25">
      <c r="B46" s="25"/>
      <c r="C46" s="21"/>
      <c r="D46" s="21"/>
      <c r="E46" s="21"/>
      <c r="F46" s="21"/>
      <c r="G46" s="21"/>
      <c r="H46" s="21"/>
      <c r="I46" s="27"/>
    </row>
    <row r="48" spans="2:10" x14ac:dyDescent="0.25">
      <c r="B48" s="3" t="s">
        <v>79</v>
      </c>
    </row>
    <row r="49" spans="1:10" ht="19.899999999999999" customHeight="1" x14ac:dyDescent="0.25">
      <c r="B49" s="28" t="s">
        <v>80</v>
      </c>
      <c r="C49" s="56" t="s">
        <v>81</v>
      </c>
      <c r="D49" s="57"/>
      <c r="E49" s="57"/>
      <c r="F49" s="57"/>
      <c r="G49" s="57"/>
      <c r="H49" s="57"/>
      <c r="I49" s="58"/>
    </row>
    <row r="51" spans="1:10" x14ac:dyDescent="0.25">
      <c r="B51" s="3" t="s">
        <v>82</v>
      </c>
    </row>
    <row r="52" spans="1:10" ht="19.899999999999999" customHeight="1" x14ac:dyDescent="0.25">
      <c r="B52" s="29" t="s">
        <v>83</v>
      </c>
      <c r="C52" s="42" t="s">
        <v>84</v>
      </c>
      <c r="D52" s="43"/>
      <c r="E52" s="43"/>
      <c r="F52" s="43"/>
      <c r="G52" s="43"/>
      <c r="H52" s="43"/>
      <c r="I52" s="44"/>
      <c r="J52" s="17" t="str">
        <f>HYPERLINK("#'Ändringshistorik'!C168", "Ändringshistorik: [180]")</f>
        <v>Ändringshistorik: [180]</v>
      </c>
    </row>
    <row r="53" spans="1:10" ht="19.899999999999999" customHeight="1" x14ac:dyDescent="0.25">
      <c r="B53" s="30" t="s">
        <v>85</v>
      </c>
      <c r="C53" s="52" t="s">
        <v>86</v>
      </c>
      <c r="D53" s="53"/>
      <c r="E53" s="46"/>
      <c r="F53" s="46"/>
      <c r="G53" s="46"/>
      <c r="H53" s="46"/>
      <c r="I53" s="47"/>
      <c r="J53" s="17" t="str">
        <f>HYPERLINK("#'Ändringshistorik'!C117", "Ändringshistorik: [201]")</f>
        <v>Ändringshistorik: [201]</v>
      </c>
    </row>
    <row r="54" spans="1:10" ht="19.899999999999999" customHeight="1" x14ac:dyDescent="0.25">
      <c r="B54" s="30" t="s">
        <v>87</v>
      </c>
      <c r="C54" s="52" t="s">
        <v>88</v>
      </c>
      <c r="D54" s="53"/>
      <c r="E54" s="46"/>
      <c r="F54" s="46"/>
      <c r="G54" s="46"/>
      <c r="H54" s="46"/>
      <c r="I54" s="47"/>
    </row>
    <row r="55" spans="1:10" ht="19.899999999999999" customHeight="1" x14ac:dyDescent="0.25">
      <c r="B55" s="30" t="s">
        <v>89</v>
      </c>
      <c r="C55" s="52" t="s">
        <v>90</v>
      </c>
      <c r="D55" s="53"/>
      <c r="E55" s="46"/>
      <c r="F55" s="46"/>
      <c r="G55" s="46"/>
      <c r="H55" s="46"/>
      <c r="I55" s="47"/>
    </row>
    <row r="56" spans="1:10" ht="19.899999999999999" customHeight="1" x14ac:dyDescent="0.25">
      <c r="B56" s="31" t="s">
        <v>91</v>
      </c>
      <c r="C56" s="59" t="s">
        <v>92</v>
      </c>
      <c r="D56" s="60"/>
      <c r="E56" s="49"/>
      <c r="F56" s="49"/>
      <c r="G56" s="49"/>
      <c r="H56" s="49"/>
      <c r="I56" s="50"/>
    </row>
    <row r="60" spans="1:10" ht="19.899999999999999" customHeight="1" x14ac:dyDescent="0.25">
      <c r="A60" s="45" t="s">
        <v>3</v>
      </c>
      <c r="B60" s="46"/>
      <c r="C60" s="46"/>
      <c r="D60" s="46"/>
      <c r="E60" s="46"/>
      <c r="F60" s="46"/>
      <c r="G60" s="46"/>
      <c r="H60" s="46"/>
      <c r="I60" s="46"/>
    </row>
    <row r="61" spans="1:10" ht="18.75" x14ac:dyDescent="0.25">
      <c r="A61" s="16" t="s">
        <v>93</v>
      </c>
      <c r="B61" s="3" t="s">
        <v>47</v>
      </c>
      <c r="J61" s="17" t="str">
        <f>HYPERLINK("#'Ändringshistorik'!C226", "Ändringshistorik: [130]")</f>
        <v>Ändringshistorik: [130]</v>
      </c>
    </row>
    <row r="62" spans="1:10" ht="19.899999999999999" customHeight="1" x14ac:dyDescent="0.25">
      <c r="B62" s="22" t="s">
        <v>94</v>
      </c>
      <c r="C62" s="32" t="str">
        <f>HYPERLINK("#'Json-dokumentation'!A154", "Element av typen 'PersonData'")</f>
        <v>Element av typen 'PersonData'</v>
      </c>
      <c r="D62" s="42" t="s">
        <v>95</v>
      </c>
      <c r="E62" s="43"/>
      <c r="F62" s="43"/>
      <c r="G62" s="43"/>
      <c r="H62" s="43"/>
      <c r="I62" s="44"/>
    </row>
    <row r="63" spans="1:10" x14ac:dyDescent="0.25">
      <c r="B63" s="23"/>
      <c r="C63" s="51" t="s">
        <v>55</v>
      </c>
      <c r="D63" s="46"/>
      <c r="E63" s="46"/>
      <c r="F63" s="46"/>
      <c r="G63" s="46"/>
      <c r="H63" s="46"/>
      <c r="I63" s="47"/>
    </row>
    <row r="64" spans="1:10" x14ac:dyDescent="0.25">
      <c r="B64" s="23"/>
      <c r="I64" s="26"/>
    </row>
    <row r="65" spans="2:10" ht="19.899999999999999" customHeight="1" x14ac:dyDescent="0.25">
      <c r="B65" s="24" t="s">
        <v>96</v>
      </c>
      <c r="C65" s="19" t="str">
        <f>HYPERLINK("#'Json-dokumentation'!A212", "Element av typen 'VårdData'")</f>
        <v>Element av typen 'VårdData'</v>
      </c>
      <c r="D65" s="52" t="s">
        <v>97</v>
      </c>
      <c r="E65" s="53"/>
      <c r="F65" s="53"/>
      <c r="G65" s="53"/>
      <c r="H65" s="53"/>
      <c r="I65" s="54"/>
      <c r="J65" s="17" t="str">
        <f>HYPERLINK("#'Ändringshistorik'!C357", "Ändringshistorik: [2] ,[101] ,[129] ,[184] ,[214] ,[215]")</f>
        <v>Ändringshistorik: [2] ,[101] ,[129] ,[184] ,[214] ,[215]</v>
      </c>
    </row>
    <row r="66" spans="2:10" x14ac:dyDescent="0.25">
      <c r="B66" s="23"/>
      <c r="C66" s="51" t="s">
        <v>55</v>
      </c>
      <c r="D66" s="46"/>
      <c r="E66" s="46"/>
      <c r="F66" s="46"/>
      <c r="G66" s="46"/>
      <c r="H66" s="46"/>
      <c r="I66" s="47"/>
    </row>
    <row r="67" spans="2:10" x14ac:dyDescent="0.25">
      <c r="B67" s="23"/>
      <c r="I67" s="26"/>
    </row>
    <row r="68" spans="2:10" ht="77.849999999999994" customHeight="1" x14ac:dyDescent="0.25">
      <c r="B68" s="24" t="s">
        <v>98</v>
      </c>
      <c r="C68" s="19" t="str">
        <f>HYPERLINK("#'Json-dokumentation'!A399", "Ett eller flera element av typen 'PreOperationskoder'")</f>
        <v>Ett eller flera element av typen 'PreOperationskoder'</v>
      </c>
      <c r="D68" s="52" t="s">
        <v>99</v>
      </c>
      <c r="E68" s="53"/>
      <c r="F68" s="53"/>
      <c r="G68" s="53"/>
      <c r="H68" s="53"/>
      <c r="I68" s="54"/>
    </row>
    <row r="69" spans="2:10" x14ac:dyDescent="0.25">
      <c r="B69" s="23"/>
      <c r="C69" s="55" t="s">
        <v>60</v>
      </c>
      <c r="D69" s="46"/>
      <c r="E69" s="46"/>
      <c r="F69" s="46"/>
      <c r="G69" s="46"/>
      <c r="H69" s="46"/>
      <c r="I69" s="47"/>
    </row>
    <row r="70" spans="2:10" x14ac:dyDescent="0.25">
      <c r="B70" s="23"/>
      <c r="I70" s="26"/>
    </row>
    <row r="71" spans="2:10" ht="34.35" customHeight="1" x14ac:dyDescent="0.25">
      <c r="B71" s="24" t="s">
        <v>100</v>
      </c>
      <c r="C71" s="19" t="str">
        <f>HYPERLINK("#'Json-dokumentation'!A420", "Ett eller flera element av typen 'BehandlingsStrategiPre2014'")</f>
        <v>Ett eller flera element av typen 'BehandlingsStrategiPre2014'</v>
      </c>
      <c r="D71" s="52" t="s">
        <v>101</v>
      </c>
      <c r="E71" s="53"/>
      <c r="F71" s="53"/>
      <c r="G71" s="53"/>
      <c r="H71" s="53"/>
      <c r="I71" s="54"/>
    </row>
    <row r="72" spans="2:10" x14ac:dyDescent="0.25">
      <c r="B72" s="23"/>
      <c r="C72" s="55" t="s">
        <v>60</v>
      </c>
      <c r="D72" s="46"/>
      <c r="E72" s="46"/>
      <c r="F72" s="46"/>
      <c r="G72" s="46"/>
      <c r="H72" s="46"/>
      <c r="I72" s="47"/>
    </row>
    <row r="73" spans="2:10" x14ac:dyDescent="0.25">
      <c r="B73" s="23"/>
      <c r="I73" s="26"/>
    </row>
    <row r="74" spans="2:10" ht="92.25" customHeight="1" x14ac:dyDescent="0.25">
      <c r="B74" s="24" t="s">
        <v>102</v>
      </c>
      <c r="C74" s="19" t="str">
        <f>HYPERLINK("#'Json-dokumentation'!A519", "Ett eller flera element av typen 'BehandlingsStrategi2013'")</f>
        <v>Ett eller flera element av typen 'BehandlingsStrategi2013'</v>
      </c>
      <c r="D74" s="52" t="s">
        <v>103</v>
      </c>
      <c r="E74" s="53"/>
      <c r="F74" s="53"/>
      <c r="G74" s="53"/>
      <c r="H74" s="53"/>
      <c r="I74" s="54"/>
    </row>
    <row r="75" spans="2:10" x14ac:dyDescent="0.25">
      <c r="B75" s="23"/>
      <c r="C75" s="55" t="s">
        <v>60</v>
      </c>
      <c r="D75" s="46"/>
      <c r="E75" s="46"/>
      <c r="F75" s="46"/>
      <c r="G75" s="46"/>
      <c r="H75" s="46"/>
      <c r="I75" s="47"/>
    </row>
    <row r="76" spans="2:10" x14ac:dyDescent="0.25">
      <c r="B76" s="23"/>
      <c r="I76" s="26"/>
    </row>
    <row r="77" spans="2:10" ht="34.35" customHeight="1" x14ac:dyDescent="0.25">
      <c r="B77" s="24" t="s">
        <v>104</v>
      </c>
      <c r="C77" s="19" t="str">
        <f>HYPERLINK("#'Json-dokumentation'!A592", "Element av typen 'SAPS3'")</f>
        <v>Element av typen 'SAPS3'</v>
      </c>
      <c r="D77" s="52" t="s">
        <v>105</v>
      </c>
      <c r="E77" s="53"/>
      <c r="F77" s="53"/>
      <c r="G77" s="53"/>
      <c r="H77" s="53"/>
      <c r="I77" s="54"/>
    </row>
    <row r="78" spans="2:10" x14ac:dyDescent="0.25">
      <c r="B78" s="23"/>
      <c r="C78" s="55" t="s">
        <v>60</v>
      </c>
      <c r="D78" s="46"/>
      <c r="E78" s="46"/>
      <c r="F78" s="46"/>
      <c r="G78" s="46"/>
      <c r="H78" s="46"/>
      <c r="I78" s="47"/>
    </row>
    <row r="79" spans="2:10" x14ac:dyDescent="0.25">
      <c r="B79" s="23"/>
      <c r="I79" s="26"/>
    </row>
    <row r="80" spans="2:10" ht="19.899999999999999" customHeight="1" x14ac:dyDescent="0.25">
      <c r="B80" s="24" t="s">
        <v>106</v>
      </c>
      <c r="C80" s="19" t="str">
        <f>HYPERLINK("#'Json-dokumentation'!A797", "Element av typen 'Higgins'")</f>
        <v>Element av typen 'Higgins'</v>
      </c>
      <c r="D80" s="52" t="s">
        <v>107</v>
      </c>
      <c r="E80" s="53"/>
      <c r="F80" s="53"/>
      <c r="G80" s="53"/>
      <c r="H80" s="53"/>
      <c r="I80" s="54"/>
    </row>
    <row r="81" spans="2:10" x14ac:dyDescent="0.25">
      <c r="B81" s="23"/>
      <c r="C81" s="55" t="s">
        <v>60</v>
      </c>
      <c r="D81" s="46"/>
      <c r="E81" s="46"/>
      <c r="F81" s="46"/>
      <c r="G81" s="46"/>
      <c r="H81" s="46"/>
      <c r="I81" s="47"/>
    </row>
    <row r="82" spans="2:10" x14ac:dyDescent="0.25">
      <c r="B82" s="23"/>
      <c r="I82" s="26"/>
    </row>
    <row r="83" spans="2:10" ht="92.25" customHeight="1" x14ac:dyDescent="0.25">
      <c r="B83" s="24" t="s">
        <v>108</v>
      </c>
      <c r="C83" s="19" t="str">
        <f>HYPERLINK("#'Json-dokumentation'!A933", "Element av typen 'ClinicalFrailtyScaleData'")</f>
        <v>Element av typen 'ClinicalFrailtyScaleData'</v>
      </c>
      <c r="D83" s="52" t="s">
        <v>109</v>
      </c>
      <c r="E83" s="53"/>
      <c r="F83" s="53"/>
      <c r="G83" s="53"/>
      <c r="H83" s="53"/>
      <c r="I83" s="54"/>
    </row>
    <row r="84" spans="2:10" x14ac:dyDescent="0.25">
      <c r="B84" s="23"/>
      <c r="C84" s="55" t="s">
        <v>60</v>
      </c>
      <c r="D84" s="46"/>
      <c r="E84" s="46"/>
      <c r="F84" s="46"/>
      <c r="G84" s="46"/>
      <c r="H84" s="46"/>
      <c r="I84" s="47"/>
    </row>
    <row r="85" spans="2:10" x14ac:dyDescent="0.25">
      <c r="B85" s="23"/>
      <c r="I85" s="26"/>
    </row>
    <row r="86" spans="2:10" ht="106.7" customHeight="1" x14ac:dyDescent="0.25">
      <c r="B86" s="24" t="s">
        <v>110</v>
      </c>
      <c r="C86" s="19" t="str">
        <f>HYPERLINK("#'Json-dokumentation'!A962", "Element av typen 'PIM2'")</f>
        <v>Element av typen 'PIM2'</v>
      </c>
      <c r="D86" s="52" t="s">
        <v>111</v>
      </c>
      <c r="E86" s="53"/>
      <c r="F86" s="53"/>
      <c r="G86" s="53"/>
      <c r="H86" s="53"/>
      <c r="I86" s="54"/>
    </row>
    <row r="87" spans="2:10" x14ac:dyDescent="0.25">
      <c r="B87" s="23"/>
      <c r="C87" s="55" t="s">
        <v>60</v>
      </c>
      <c r="D87" s="46"/>
      <c r="E87" s="46"/>
      <c r="F87" s="46"/>
      <c r="G87" s="46"/>
      <c r="H87" s="46"/>
      <c r="I87" s="47"/>
    </row>
    <row r="88" spans="2:10" x14ac:dyDescent="0.25">
      <c r="B88" s="23"/>
      <c r="I88" s="26"/>
    </row>
    <row r="89" spans="2:10" ht="48.95" customHeight="1" x14ac:dyDescent="0.25">
      <c r="B89" s="24" t="s">
        <v>112</v>
      </c>
      <c r="C89" s="19" t="str">
        <f>HYPERLINK("#'Json-dokumentation'!A1060", "Element av typen 'PIM3'")</f>
        <v>Element av typen 'PIM3'</v>
      </c>
      <c r="D89" s="52" t="s">
        <v>113</v>
      </c>
      <c r="E89" s="53"/>
      <c r="F89" s="53"/>
      <c r="G89" s="53"/>
      <c r="H89" s="53"/>
      <c r="I89" s="54"/>
    </row>
    <row r="90" spans="2:10" x14ac:dyDescent="0.25">
      <c r="B90" s="23"/>
      <c r="C90" s="55" t="s">
        <v>60</v>
      </c>
      <c r="D90" s="46"/>
      <c r="E90" s="46"/>
      <c r="F90" s="46"/>
      <c r="G90" s="46"/>
      <c r="H90" s="46"/>
      <c r="I90" s="47"/>
    </row>
    <row r="91" spans="2:10" x14ac:dyDescent="0.25">
      <c r="B91" s="23"/>
      <c r="I91" s="26"/>
    </row>
    <row r="92" spans="2:10" ht="34.35" customHeight="1" x14ac:dyDescent="0.25">
      <c r="B92" s="24" t="s">
        <v>114</v>
      </c>
      <c r="C92" s="19" t="str">
        <f>HYPERLINK("#'Json-dokumentation'!A1176", "Element av typen 'SOFAData'")</f>
        <v>Element av typen 'SOFAData'</v>
      </c>
      <c r="D92" s="52" t="s">
        <v>115</v>
      </c>
      <c r="E92" s="53"/>
      <c r="F92" s="53"/>
      <c r="G92" s="53"/>
      <c r="H92" s="53"/>
      <c r="I92" s="54"/>
    </row>
    <row r="93" spans="2:10" x14ac:dyDescent="0.25">
      <c r="B93" s="23"/>
      <c r="C93" s="55" t="s">
        <v>60</v>
      </c>
      <c r="D93" s="46"/>
      <c r="E93" s="46"/>
      <c r="F93" s="46"/>
      <c r="G93" s="46"/>
      <c r="H93" s="46"/>
      <c r="I93" s="47"/>
    </row>
    <row r="94" spans="2:10" x14ac:dyDescent="0.25">
      <c r="B94" s="23"/>
      <c r="I94" s="26"/>
    </row>
    <row r="95" spans="2:10" ht="63.4" customHeight="1" x14ac:dyDescent="0.25">
      <c r="B95" s="24" t="s">
        <v>116</v>
      </c>
      <c r="C95" s="19" t="str">
        <f>HYPERLINK("#'Json-dokumentation'!A1203", "Ett eller flera element av typen 'DagligSOFA'")</f>
        <v>Ett eller flera element av typen 'DagligSOFA'</v>
      </c>
      <c r="D95" s="52" t="s">
        <v>117</v>
      </c>
      <c r="E95" s="53"/>
      <c r="F95" s="53"/>
      <c r="G95" s="53"/>
      <c r="H95" s="53"/>
      <c r="I95" s="54"/>
      <c r="J95" s="17" t="str">
        <f>HYPERLINK("#'Ändringshistorik'!C342", "Ändringshistorik: [31] ,[41]")</f>
        <v>Ändringshistorik: [31] ,[41]</v>
      </c>
    </row>
    <row r="96" spans="2:10" x14ac:dyDescent="0.25">
      <c r="B96" s="23"/>
      <c r="C96" s="55" t="s">
        <v>60</v>
      </c>
      <c r="D96" s="46"/>
      <c r="E96" s="46"/>
      <c r="F96" s="46"/>
      <c r="G96" s="46"/>
      <c r="H96" s="46"/>
      <c r="I96" s="47"/>
    </row>
    <row r="97" spans="2:10" x14ac:dyDescent="0.25">
      <c r="B97" s="23"/>
      <c r="I97" s="26"/>
    </row>
    <row r="98" spans="2:10" ht="34.35" customHeight="1" x14ac:dyDescent="0.25">
      <c r="B98" s="24" t="s">
        <v>118</v>
      </c>
      <c r="C98" s="19" t="str">
        <f>HYPERLINK("#'Json-dokumentation'!A1380", "Element av typen 'Avliden2009'")</f>
        <v>Element av typen 'Avliden2009'</v>
      </c>
      <c r="D98" s="52" t="s">
        <v>119</v>
      </c>
      <c r="E98" s="53"/>
      <c r="F98" s="53"/>
      <c r="G98" s="53"/>
      <c r="H98" s="53"/>
      <c r="I98" s="54"/>
    </row>
    <row r="99" spans="2:10" x14ac:dyDescent="0.25">
      <c r="B99" s="23"/>
      <c r="C99" s="55" t="s">
        <v>60</v>
      </c>
      <c r="D99" s="46"/>
      <c r="E99" s="46"/>
      <c r="F99" s="46"/>
      <c r="G99" s="46"/>
      <c r="H99" s="46"/>
      <c r="I99" s="47"/>
    </row>
    <row r="100" spans="2:10" x14ac:dyDescent="0.25">
      <c r="B100" s="23"/>
      <c r="I100" s="26"/>
    </row>
    <row r="101" spans="2:10" ht="34.35" customHeight="1" x14ac:dyDescent="0.25">
      <c r="B101" s="24" t="s">
        <v>120</v>
      </c>
      <c r="C101" s="19" t="str">
        <f>HYPERLINK("#'Json-dokumentation'!A1469", "Element av typen 'Avliden2016'")</f>
        <v>Element av typen 'Avliden2016'</v>
      </c>
      <c r="D101" s="52" t="s">
        <v>121</v>
      </c>
      <c r="E101" s="53"/>
      <c r="F101" s="53"/>
      <c r="G101" s="53"/>
      <c r="H101" s="53"/>
      <c r="I101" s="54"/>
    </row>
    <row r="102" spans="2:10" x14ac:dyDescent="0.25">
      <c r="B102" s="23"/>
      <c r="C102" s="55" t="s">
        <v>60</v>
      </c>
      <c r="D102" s="46"/>
      <c r="E102" s="46"/>
      <c r="F102" s="46"/>
      <c r="G102" s="46"/>
      <c r="H102" s="46"/>
      <c r="I102" s="47"/>
    </row>
    <row r="103" spans="2:10" x14ac:dyDescent="0.25">
      <c r="B103" s="23"/>
      <c r="I103" s="26"/>
    </row>
    <row r="104" spans="2:10" ht="19.899999999999999" customHeight="1" x14ac:dyDescent="0.25">
      <c r="B104" s="24" t="s">
        <v>122</v>
      </c>
      <c r="C104" s="19" t="str">
        <f>HYPERLINK("#'Json-dokumentation'!A1570", "Element av typen 'Avliden2020'")</f>
        <v>Element av typen 'Avliden2020'</v>
      </c>
      <c r="D104" s="52" t="s">
        <v>123</v>
      </c>
      <c r="E104" s="53"/>
      <c r="F104" s="53"/>
      <c r="G104" s="53"/>
      <c r="H104" s="53"/>
      <c r="I104" s="54"/>
      <c r="J104" s="17" t="str">
        <f>HYPERLINK("#'Ändringshistorik'!C366", "Ändringshistorik: [11] ,[12] ,[13] ,[14]")</f>
        <v>Ändringshistorik: [11] ,[12] ,[13] ,[14]</v>
      </c>
    </row>
    <row r="105" spans="2:10" x14ac:dyDescent="0.25">
      <c r="B105" s="23"/>
      <c r="C105" s="55" t="s">
        <v>60</v>
      </c>
      <c r="D105" s="46"/>
      <c r="E105" s="46"/>
      <c r="F105" s="46"/>
      <c r="G105" s="46"/>
      <c r="H105" s="46"/>
      <c r="I105" s="47"/>
    </row>
    <row r="106" spans="2:10" x14ac:dyDescent="0.25">
      <c r="B106" s="23"/>
      <c r="I106" s="26"/>
    </row>
    <row r="107" spans="2:10" ht="19.899999999999999" customHeight="1" x14ac:dyDescent="0.25">
      <c r="B107" s="24" t="s">
        <v>124</v>
      </c>
      <c r="C107" s="19" t="str">
        <f>HYPERLINK("#'Json-dokumentation'!A1755", "Element av typen 'Avliden2024'")</f>
        <v>Element av typen 'Avliden2024'</v>
      </c>
      <c r="D107" s="52" t="s">
        <v>125</v>
      </c>
      <c r="E107" s="53"/>
      <c r="F107" s="53"/>
      <c r="G107" s="53"/>
      <c r="H107" s="53"/>
      <c r="I107" s="54"/>
      <c r="J107" s="17" t="str">
        <f>HYPERLINK("#'Ändringshistorik'!C343", "Ändringshistorik: [32] ,[48] ,[49] ,[50] ,[51] ,[52] ,[53] ,[54] ,[55] ,[56] ,[68] ,[69] ,[70] ,[71] ,[72] ,[73] ,[74] ,[75] ,[76] ,[77] ,[78] ,[79] ,[80] ,[81] ,[82] ,[83] ,[219]")</f>
        <v>Ändringshistorik: [32] ,[48] ,[49] ,[50] ,[51] ,[52] ,[53] ,[54] ,[55] ,[56] ,[68] ,[69] ,[70] ,[71] ,[72] ,[73] ,[74] ,[75] ,[76] ,[77] ,[78] ,[79] ,[80] ,[81] ,[82] ,[83] ,[219]</v>
      </c>
    </row>
    <row r="108" spans="2:10" x14ac:dyDescent="0.25">
      <c r="B108" s="23"/>
      <c r="C108" s="55" t="s">
        <v>60</v>
      </c>
      <c r="D108" s="46"/>
      <c r="E108" s="46"/>
      <c r="F108" s="46"/>
      <c r="G108" s="46"/>
      <c r="H108" s="46"/>
      <c r="I108" s="47"/>
    </row>
    <row r="109" spans="2:10" x14ac:dyDescent="0.25">
      <c r="B109" s="23"/>
      <c r="I109" s="26"/>
    </row>
    <row r="110" spans="2:10" ht="92.25" customHeight="1" x14ac:dyDescent="0.25">
      <c r="B110" s="24" t="s">
        <v>126</v>
      </c>
      <c r="C110" s="19" t="str">
        <f>HYPERLINK("#'Json-dokumentation'!A1980", "Element av typen 'ViktOchLängd'")</f>
        <v>Element av typen 'ViktOchLängd'</v>
      </c>
      <c r="D110" s="52" t="s">
        <v>127</v>
      </c>
      <c r="E110" s="53"/>
      <c r="F110" s="53"/>
      <c r="G110" s="53"/>
      <c r="H110" s="53"/>
      <c r="I110" s="54"/>
    </row>
    <row r="111" spans="2:10" x14ac:dyDescent="0.25">
      <c r="B111" s="23"/>
      <c r="C111" s="55" t="s">
        <v>60</v>
      </c>
      <c r="D111" s="46"/>
      <c r="E111" s="46"/>
      <c r="F111" s="46"/>
      <c r="G111" s="46"/>
      <c r="H111" s="46"/>
      <c r="I111" s="47"/>
    </row>
    <row r="112" spans="2:10" x14ac:dyDescent="0.25">
      <c r="B112" s="23"/>
      <c r="I112" s="26"/>
    </row>
    <row r="113" spans="2:10" ht="77.849999999999994" customHeight="1" x14ac:dyDescent="0.25">
      <c r="B113" s="24" t="s">
        <v>128</v>
      </c>
      <c r="C113" s="19" t="str">
        <f>HYPERLINK("#'Json-dokumentation'!A2019", "Ett eller flera element av typen 'Komplikation2012'")</f>
        <v>Ett eller flera element av typen 'Komplikation2012'</v>
      </c>
      <c r="D113" s="52" t="s">
        <v>129</v>
      </c>
      <c r="E113" s="53"/>
      <c r="F113" s="53"/>
      <c r="G113" s="53"/>
      <c r="H113" s="53"/>
      <c r="I113" s="54"/>
      <c r="J113" s="17" t="str">
        <f>HYPERLINK("#'Ändringshistorik'!C136", "Ändringshistorik: [220]")</f>
        <v>Ändringshistorik: [220]</v>
      </c>
    </row>
    <row r="114" spans="2:10" x14ac:dyDescent="0.25">
      <c r="B114" s="23"/>
      <c r="C114" s="55" t="s">
        <v>60</v>
      </c>
      <c r="D114" s="46"/>
      <c r="E114" s="46"/>
      <c r="F114" s="46"/>
      <c r="G114" s="46"/>
      <c r="H114" s="46"/>
      <c r="I114" s="47"/>
    </row>
    <row r="115" spans="2:10" x14ac:dyDescent="0.25">
      <c r="B115" s="23"/>
      <c r="I115" s="26"/>
    </row>
    <row r="116" spans="2:10" ht="106.7" customHeight="1" x14ac:dyDescent="0.25">
      <c r="B116" s="24" t="s">
        <v>130</v>
      </c>
      <c r="C116" s="19" t="str">
        <f>HYPERLINK("#'Json-dokumentation'!A2050", "Ett eller flera element av typen 'VTS5'")</f>
        <v>Ett eller flera element av typen 'VTS5'</v>
      </c>
      <c r="D116" s="52" t="s">
        <v>131</v>
      </c>
      <c r="E116" s="53"/>
      <c r="F116" s="53"/>
      <c r="G116" s="53"/>
      <c r="H116" s="53"/>
      <c r="I116" s="54"/>
    </row>
    <row r="117" spans="2:10" x14ac:dyDescent="0.25">
      <c r="B117" s="23"/>
      <c r="C117" s="55" t="s">
        <v>60</v>
      </c>
      <c r="D117" s="46"/>
      <c r="E117" s="46"/>
      <c r="F117" s="46"/>
      <c r="G117" s="46"/>
      <c r="H117" s="46"/>
      <c r="I117" s="47"/>
    </row>
    <row r="118" spans="2:10" x14ac:dyDescent="0.25">
      <c r="B118" s="23"/>
      <c r="I118" s="26"/>
    </row>
    <row r="119" spans="2:10" ht="92.25" customHeight="1" x14ac:dyDescent="0.25">
      <c r="B119" s="24" t="s">
        <v>132</v>
      </c>
      <c r="C119" s="19" t="str">
        <f>HYPERLINK("#'Json-dokumentation'!A2147", "Ett eller flera element av typen 'VTS2014'")</f>
        <v>Ett eller flera element av typen 'VTS2014'</v>
      </c>
      <c r="D119" s="52" t="s">
        <v>133</v>
      </c>
      <c r="E119" s="53"/>
      <c r="F119" s="53"/>
      <c r="G119" s="53"/>
      <c r="H119" s="53"/>
      <c r="I119" s="54"/>
    </row>
    <row r="120" spans="2:10" x14ac:dyDescent="0.25">
      <c r="B120" s="23"/>
      <c r="C120" s="55" t="s">
        <v>60</v>
      </c>
      <c r="D120" s="46"/>
      <c r="E120" s="46"/>
      <c r="F120" s="46"/>
      <c r="G120" s="46"/>
      <c r="H120" s="46"/>
      <c r="I120" s="47"/>
    </row>
    <row r="121" spans="2:10" x14ac:dyDescent="0.25">
      <c r="B121" s="23"/>
      <c r="I121" s="26"/>
    </row>
    <row r="122" spans="2:10" ht="34.35" customHeight="1" x14ac:dyDescent="0.25">
      <c r="B122" s="24" t="s">
        <v>134</v>
      </c>
      <c r="C122" s="19" t="str">
        <f>HYPERLINK("#'Json-dokumentation'!A2239", "Ett eller flera element av typen 'NEMS'")</f>
        <v>Ett eller flera element av typen 'NEMS'</v>
      </c>
      <c r="D122" s="52" t="s">
        <v>135</v>
      </c>
      <c r="E122" s="53"/>
      <c r="F122" s="53"/>
      <c r="G122" s="53"/>
      <c r="H122" s="53"/>
      <c r="I122" s="54"/>
    </row>
    <row r="123" spans="2:10" x14ac:dyDescent="0.25">
      <c r="B123" s="23"/>
      <c r="C123" s="55" t="s">
        <v>60</v>
      </c>
      <c r="D123" s="46"/>
      <c r="E123" s="46"/>
      <c r="F123" s="46"/>
      <c r="G123" s="46"/>
      <c r="H123" s="46"/>
      <c r="I123" s="47"/>
    </row>
    <row r="124" spans="2:10" x14ac:dyDescent="0.25">
      <c r="B124" s="23"/>
      <c r="I124" s="26"/>
    </row>
    <row r="125" spans="2:10" ht="135.6" customHeight="1" x14ac:dyDescent="0.25">
      <c r="B125" s="24" t="s">
        <v>136</v>
      </c>
      <c r="C125" s="19" t="str">
        <f>HYPERLINK("#'Json-dokumentation'!A2301", "Ett eller flera element av typen 'Åtgärd'")</f>
        <v>Ett eller flera element av typen 'Åtgärd'</v>
      </c>
      <c r="D125" s="52" t="s">
        <v>137</v>
      </c>
      <c r="E125" s="53"/>
      <c r="F125" s="53"/>
      <c r="G125" s="53"/>
      <c r="H125" s="53"/>
      <c r="I125" s="54"/>
    </row>
    <row r="126" spans="2:10" x14ac:dyDescent="0.25">
      <c r="B126" s="23"/>
      <c r="C126" s="55" t="s">
        <v>60</v>
      </c>
      <c r="D126" s="46"/>
      <c r="E126" s="46"/>
      <c r="F126" s="46"/>
      <c r="G126" s="46"/>
      <c r="H126" s="46"/>
      <c r="I126" s="47"/>
    </row>
    <row r="127" spans="2:10" x14ac:dyDescent="0.25">
      <c r="B127" s="23"/>
      <c r="I127" s="26"/>
    </row>
    <row r="128" spans="2:10" ht="135.6" customHeight="1" x14ac:dyDescent="0.25">
      <c r="B128" s="24" t="s">
        <v>138</v>
      </c>
      <c r="C128" s="19" t="str">
        <f>HYPERLINK("#'Json-dokumentation'!A2344", "Ett eller flera element av typen 'DiagnosKod'")</f>
        <v>Ett eller flera element av typen 'DiagnosKod'</v>
      </c>
      <c r="D128" s="52" t="s">
        <v>26</v>
      </c>
      <c r="E128" s="53"/>
      <c r="F128" s="53"/>
      <c r="G128" s="53"/>
      <c r="H128" s="53"/>
      <c r="I128" s="54"/>
    </row>
    <row r="129" spans="2:10" x14ac:dyDescent="0.25">
      <c r="B129" s="23"/>
      <c r="C129" s="55" t="s">
        <v>60</v>
      </c>
      <c r="D129" s="46"/>
      <c r="E129" s="46"/>
      <c r="F129" s="46"/>
      <c r="G129" s="46"/>
      <c r="H129" s="46"/>
      <c r="I129" s="47"/>
    </row>
    <row r="130" spans="2:10" x14ac:dyDescent="0.25">
      <c r="B130" s="23"/>
      <c r="I130" s="26"/>
    </row>
    <row r="131" spans="2:10" ht="19.899999999999999" customHeight="1" x14ac:dyDescent="0.25">
      <c r="B131" s="24" t="s">
        <v>139</v>
      </c>
      <c r="C131" s="19" t="str">
        <f>HYPERLINK("#'Json-dokumentation'!A2367", "Ett eller flera element av typen 'Sederingsmål'")</f>
        <v>Ett eller flera element av typen 'Sederingsmål'</v>
      </c>
      <c r="D131" s="52" t="s">
        <v>140</v>
      </c>
      <c r="E131" s="53"/>
      <c r="F131" s="53"/>
      <c r="G131" s="53"/>
      <c r="H131" s="53"/>
      <c r="I131" s="54"/>
      <c r="J131" s="17" t="str">
        <f>HYPERLINK("#'Ändringshistorik'!C137", "Ändringshistorik: [221]")</f>
        <v>Ändringshistorik: [221]</v>
      </c>
    </row>
    <row r="132" spans="2:10" x14ac:dyDescent="0.25">
      <c r="B132" s="23"/>
      <c r="C132" s="55" t="s">
        <v>60</v>
      </c>
      <c r="D132" s="46"/>
      <c r="E132" s="46"/>
      <c r="F132" s="46"/>
      <c r="G132" s="46"/>
      <c r="H132" s="46"/>
      <c r="I132" s="47"/>
    </row>
    <row r="133" spans="2:10" x14ac:dyDescent="0.25">
      <c r="B133" s="23"/>
      <c r="I133" s="26"/>
    </row>
    <row r="134" spans="2:10" ht="19.899999999999999" customHeight="1" x14ac:dyDescent="0.25">
      <c r="B134" s="24" t="s">
        <v>141</v>
      </c>
      <c r="C134" s="19" t="str">
        <f>HYPERLINK("#'Json-dokumentation'!A2412", "Ett eller flera element av typen 'OmvårdnadSmärta'")</f>
        <v>Ett eller flera element av typen 'OmvårdnadSmärta'</v>
      </c>
      <c r="D134" s="52" t="s">
        <v>142</v>
      </c>
      <c r="E134" s="53"/>
      <c r="F134" s="53"/>
      <c r="G134" s="53"/>
      <c r="H134" s="53"/>
      <c r="I134" s="54"/>
      <c r="J134" s="17" t="str">
        <f>HYPERLINK("#'Ändringshistorik'!C350", "Ändringshistorik: [17] ,[27] ,[28] ,[194] ,[195] ,[222] ,[241] ,[257] ,[258] ,[259] ,[260] ,[261] ,[262] ,[263] ,[264] ,[265] ,[266] ,[267]")</f>
        <v>Ändringshistorik: [17] ,[27] ,[28] ,[194] ,[195] ,[222] ,[241] ,[257] ,[258] ,[259] ,[260] ,[261] ,[262] ,[263] ,[264] ,[265] ,[266] ,[267]</v>
      </c>
    </row>
    <row r="135" spans="2:10" x14ac:dyDescent="0.25">
      <c r="B135" s="23"/>
      <c r="C135" s="55" t="s">
        <v>60</v>
      </c>
      <c r="D135" s="46"/>
      <c r="E135" s="46"/>
      <c r="F135" s="46"/>
      <c r="G135" s="46"/>
      <c r="H135" s="46"/>
      <c r="I135" s="47"/>
    </row>
    <row r="136" spans="2:10" x14ac:dyDescent="0.25">
      <c r="B136" s="23"/>
      <c r="I136" s="26"/>
    </row>
    <row r="137" spans="2:10" ht="19.899999999999999" customHeight="1" x14ac:dyDescent="0.25">
      <c r="B137" s="24" t="s">
        <v>143</v>
      </c>
      <c r="C137" s="19" t="str">
        <f>HYPERLINK("#'Json-dokumentation'!A2519", "Ett eller flera element av typen 'OmvårdnadSedering'")</f>
        <v>Ett eller flera element av typen 'OmvårdnadSedering'</v>
      </c>
      <c r="D137" s="52" t="s">
        <v>144</v>
      </c>
      <c r="E137" s="53"/>
      <c r="F137" s="53"/>
      <c r="G137" s="53"/>
      <c r="H137" s="53"/>
      <c r="I137" s="54"/>
      <c r="J137" s="17" t="str">
        <f>HYPERLINK("#'Ändringshistorik'!C351", "Ändringshistorik: [18] ,[29] ,[197] ,[223] ,[271] ,[273] ,[279] ,[280] ,[281] ,[282] ,[283] ,[284] ,[285] ,[286] ,[287] ,[288] ,[289] ,[290] ,[291] ,[292] ,[293] ,[294] ,[295] ,[296] ,[297] ,[298] ,[299]")</f>
        <v>Ändringshistorik: [18] ,[29] ,[197] ,[223] ,[271] ,[273] ,[279] ,[280] ,[281] ,[282] ,[283] ,[284] ,[285] ,[286] ,[287] ,[288] ,[289] ,[290] ,[291] ,[292] ,[293] ,[294] ,[295] ,[296] ,[297] ,[298] ,[299]</v>
      </c>
    </row>
    <row r="138" spans="2:10" x14ac:dyDescent="0.25">
      <c r="B138" s="23"/>
      <c r="C138" s="55" t="s">
        <v>60</v>
      </c>
      <c r="D138" s="46"/>
      <c r="E138" s="46"/>
      <c r="F138" s="46"/>
      <c r="G138" s="46"/>
      <c r="H138" s="46"/>
      <c r="I138" s="47"/>
    </row>
    <row r="139" spans="2:10" x14ac:dyDescent="0.25">
      <c r="B139" s="23"/>
      <c r="I139" s="26"/>
    </row>
    <row r="140" spans="2:10" ht="19.899999999999999" customHeight="1" x14ac:dyDescent="0.25">
      <c r="B140" s="24" t="s">
        <v>145</v>
      </c>
      <c r="C140" s="19" t="str">
        <f>HYPERLINK("#'Json-dokumentation'!A2655", "Ett eller flera element av typen 'OmvårdnadDelirium'")</f>
        <v>Ett eller flera element av typen 'OmvårdnadDelirium'</v>
      </c>
      <c r="D140" s="52" t="s">
        <v>146</v>
      </c>
      <c r="E140" s="53"/>
      <c r="F140" s="53"/>
      <c r="G140" s="53"/>
      <c r="H140" s="53"/>
      <c r="I140" s="54"/>
      <c r="J140" s="17" t="str">
        <f>HYPERLINK("#'Ändringshistorik'!C352", "Ändringshistorik: [19] ,[30] ,[199] ,[224] ,[306] ,[307] ,[312] ,[314] ,[315] ,[316] ,[317] ,[318] ,[319] ,[320] ,[321] ,[322] ,[323] ,[324] ,[325] ,[326] ,[327] ,[328]")</f>
        <v>Ändringshistorik: [19] ,[30] ,[199] ,[224] ,[306] ,[307] ,[312] ,[314] ,[315] ,[316] ,[317] ,[318] ,[319] ,[320] ,[321] ,[322] ,[323] ,[324] ,[325] ,[326] ,[327] ,[328]</v>
      </c>
    </row>
    <row r="141" spans="2:10" x14ac:dyDescent="0.25">
      <c r="B141" s="23"/>
      <c r="C141" s="55" t="s">
        <v>60</v>
      </c>
      <c r="D141" s="46"/>
      <c r="E141" s="46"/>
      <c r="F141" s="46"/>
      <c r="G141" s="46"/>
      <c r="H141" s="46"/>
      <c r="I141" s="47"/>
    </row>
    <row r="142" spans="2:10" x14ac:dyDescent="0.25">
      <c r="B142" s="25"/>
      <c r="C142" s="21"/>
      <c r="D142" s="21"/>
      <c r="E142" s="21"/>
      <c r="F142" s="21"/>
      <c r="G142" s="21"/>
      <c r="H142" s="21"/>
      <c r="I142" s="27"/>
    </row>
    <row r="144" spans="2:10" x14ac:dyDescent="0.25">
      <c r="B144" s="3" t="s">
        <v>82</v>
      </c>
    </row>
    <row r="145" spans="1:10" ht="19.899999999999999" customHeight="1" x14ac:dyDescent="0.25">
      <c r="B145" s="29" t="s">
        <v>147</v>
      </c>
      <c r="C145" s="42" t="s">
        <v>148</v>
      </c>
      <c r="D145" s="43"/>
      <c r="E145" s="43"/>
      <c r="F145" s="43"/>
      <c r="G145" s="43"/>
      <c r="H145" s="43"/>
      <c r="I145" s="44"/>
    </row>
    <row r="146" spans="1:10" ht="19.899999999999999" customHeight="1" x14ac:dyDescent="0.25">
      <c r="B146" s="30" t="s">
        <v>149</v>
      </c>
      <c r="C146" s="52" t="s">
        <v>150</v>
      </c>
      <c r="D146" s="53"/>
      <c r="E146" s="46"/>
      <c r="F146" s="46"/>
      <c r="G146" s="46"/>
      <c r="H146" s="46"/>
      <c r="I146" s="47"/>
    </row>
    <row r="147" spans="1:10" ht="19.899999999999999" customHeight="1" x14ac:dyDescent="0.25">
      <c r="B147" s="30" t="s">
        <v>151</v>
      </c>
      <c r="C147" s="52" t="s">
        <v>152</v>
      </c>
      <c r="D147" s="53"/>
      <c r="E147" s="46"/>
      <c r="F147" s="46"/>
      <c r="G147" s="46"/>
      <c r="H147" s="46"/>
      <c r="I147" s="47"/>
      <c r="J147" s="17" t="str">
        <f>HYPERLINK("#'Ändringshistorik'!C344", "Ändringshistorik: [33]")</f>
        <v>Ändringshistorik: [33]</v>
      </c>
    </row>
    <row r="148" spans="1:10" ht="19.899999999999999" customHeight="1" x14ac:dyDescent="0.25">
      <c r="B148" s="30" t="s">
        <v>153</v>
      </c>
      <c r="C148" s="52" t="s">
        <v>154</v>
      </c>
      <c r="D148" s="53"/>
      <c r="E148" s="46"/>
      <c r="F148" s="46"/>
      <c r="G148" s="46"/>
      <c r="H148" s="46"/>
      <c r="I148" s="47"/>
    </row>
    <row r="149" spans="1:10" ht="19.899999999999999" customHeight="1" x14ac:dyDescent="0.25">
      <c r="B149" s="31" t="s">
        <v>155</v>
      </c>
      <c r="C149" s="59" t="s">
        <v>156</v>
      </c>
      <c r="D149" s="60"/>
      <c r="E149" s="49"/>
      <c r="F149" s="49"/>
      <c r="G149" s="49"/>
      <c r="H149" s="49"/>
      <c r="I149" s="50"/>
    </row>
    <row r="153" spans="1:10" ht="19.899999999999999" customHeight="1" x14ac:dyDescent="0.25">
      <c r="A153" s="45" t="s">
        <v>4</v>
      </c>
      <c r="B153" s="46"/>
      <c r="C153" s="46"/>
      <c r="D153" s="46"/>
      <c r="E153" s="46"/>
      <c r="F153" s="46"/>
      <c r="G153" s="46"/>
      <c r="H153" s="46"/>
      <c r="I153" s="46"/>
    </row>
    <row r="154" spans="1:10" ht="18.75" x14ac:dyDescent="0.25">
      <c r="A154" s="16" t="s">
        <v>157</v>
      </c>
      <c r="B154" s="3" t="s">
        <v>47</v>
      </c>
    </row>
    <row r="155" spans="1:10" ht="92.25" customHeight="1" x14ac:dyDescent="0.25">
      <c r="B155" s="22" t="s">
        <v>158</v>
      </c>
      <c r="C155" s="20" t="s">
        <v>49</v>
      </c>
      <c r="D155" s="42" t="s">
        <v>159</v>
      </c>
      <c r="E155" s="43"/>
      <c r="F155" s="43"/>
      <c r="G155" s="43"/>
      <c r="H155" s="43"/>
      <c r="I155" s="44"/>
    </row>
    <row r="156" spans="1:10" ht="19.899999999999999" customHeight="1" x14ac:dyDescent="0.25">
      <c r="B156" s="23"/>
      <c r="C156" s="2" t="s">
        <v>160</v>
      </c>
      <c r="D156" s="45" t="s">
        <v>161</v>
      </c>
      <c r="E156" s="46"/>
      <c r="F156" s="46"/>
      <c r="G156" s="46"/>
      <c r="H156" s="46"/>
      <c r="I156" s="47"/>
    </row>
    <row r="157" spans="1:10" ht="19.899999999999999" customHeight="1" x14ac:dyDescent="0.25">
      <c r="B157" s="23"/>
      <c r="C157" s="2" t="s">
        <v>162</v>
      </c>
      <c r="D157" s="45" t="s">
        <v>163</v>
      </c>
      <c r="E157" s="46"/>
      <c r="F157" s="46"/>
      <c r="G157" s="46"/>
      <c r="H157" s="46"/>
      <c r="I157" s="47"/>
    </row>
    <row r="158" spans="1:10" ht="19.899999999999999" customHeight="1" x14ac:dyDescent="0.25">
      <c r="B158" s="23"/>
      <c r="C158" s="2" t="s">
        <v>164</v>
      </c>
      <c r="D158" s="45" t="s">
        <v>165</v>
      </c>
      <c r="E158" s="46"/>
      <c r="F158" s="46"/>
      <c r="G158" s="46"/>
      <c r="H158" s="46"/>
      <c r="I158" s="47"/>
    </row>
    <row r="159" spans="1:10" ht="19.899999999999999" customHeight="1" x14ac:dyDescent="0.25">
      <c r="B159" s="23"/>
      <c r="C159" s="2" t="s">
        <v>166</v>
      </c>
      <c r="D159" s="45" t="s">
        <v>167</v>
      </c>
      <c r="E159" s="46"/>
      <c r="F159" s="46"/>
      <c r="G159" s="46"/>
      <c r="H159" s="46"/>
      <c r="I159" s="47"/>
    </row>
    <row r="160" spans="1:10" x14ac:dyDescent="0.25">
      <c r="B160" s="23"/>
      <c r="I160" s="26"/>
    </row>
    <row r="161" spans="2:9" x14ac:dyDescent="0.25">
      <c r="B161" s="23"/>
      <c r="C161" s="51" t="s">
        <v>55</v>
      </c>
      <c r="D161" s="46"/>
      <c r="E161" s="46"/>
      <c r="F161" s="46"/>
      <c r="G161" s="46"/>
      <c r="H161" s="46"/>
      <c r="I161" s="47"/>
    </row>
    <row r="162" spans="2:9" x14ac:dyDescent="0.25">
      <c r="B162" s="23"/>
      <c r="I162" s="26"/>
    </row>
    <row r="163" spans="2:9" ht="77.849999999999994" customHeight="1" x14ac:dyDescent="0.25">
      <c r="B163" s="24" t="s">
        <v>168</v>
      </c>
      <c r="C163" s="19" t="s">
        <v>69</v>
      </c>
      <c r="D163" s="52" t="s">
        <v>169</v>
      </c>
      <c r="E163" s="53"/>
      <c r="F163" s="53"/>
      <c r="G163" s="53"/>
      <c r="H163" s="53"/>
      <c r="I163" s="54"/>
    </row>
    <row r="164" spans="2:9" x14ac:dyDescent="0.25">
      <c r="B164" s="23"/>
      <c r="C164" s="2" t="s">
        <v>170</v>
      </c>
      <c r="I164" s="26"/>
    </row>
    <row r="165" spans="2:9" x14ac:dyDescent="0.25">
      <c r="B165" s="23"/>
      <c r="I165" s="26"/>
    </row>
    <row r="166" spans="2:9" x14ac:dyDescent="0.25">
      <c r="B166" s="23"/>
      <c r="C166" s="51" t="s">
        <v>55</v>
      </c>
      <c r="D166" s="46"/>
      <c r="E166" s="46"/>
      <c r="F166" s="46"/>
      <c r="G166" s="46"/>
      <c r="H166" s="46"/>
      <c r="I166" s="47"/>
    </row>
    <row r="167" spans="2:9" x14ac:dyDescent="0.25">
      <c r="B167" s="23"/>
      <c r="I167" s="26"/>
    </row>
    <row r="168" spans="2:9" ht="150.19999999999999" customHeight="1" x14ac:dyDescent="0.25">
      <c r="B168" s="24" t="s">
        <v>171</v>
      </c>
      <c r="C168" s="18" t="s">
        <v>49</v>
      </c>
      <c r="D168" s="52" t="s">
        <v>172</v>
      </c>
      <c r="E168" s="53"/>
      <c r="F168" s="53"/>
      <c r="G168" s="53"/>
      <c r="H168" s="53"/>
      <c r="I168" s="54"/>
    </row>
    <row r="169" spans="2:9" ht="19.899999999999999" customHeight="1" x14ac:dyDescent="0.25">
      <c r="B169" s="23"/>
      <c r="C169" s="2" t="s">
        <v>173</v>
      </c>
      <c r="D169" s="45" t="s">
        <v>174</v>
      </c>
      <c r="E169" s="46"/>
      <c r="F169" s="46"/>
      <c r="G169" s="46"/>
      <c r="H169" s="46"/>
      <c r="I169" s="47"/>
    </row>
    <row r="170" spans="2:9" ht="19.899999999999999" customHeight="1" x14ac:dyDescent="0.25">
      <c r="B170" s="23"/>
      <c r="C170" s="2" t="s">
        <v>175</v>
      </c>
      <c r="D170" s="45" t="s">
        <v>176</v>
      </c>
      <c r="E170" s="46"/>
      <c r="F170" s="46"/>
      <c r="G170" s="46"/>
      <c r="H170" s="46"/>
      <c r="I170" s="47"/>
    </row>
    <row r="171" spans="2:9" ht="34.35" customHeight="1" x14ac:dyDescent="0.25">
      <c r="B171" s="23"/>
      <c r="C171" s="2" t="s">
        <v>177</v>
      </c>
      <c r="D171" s="45" t="s">
        <v>178</v>
      </c>
      <c r="E171" s="46"/>
      <c r="F171" s="46"/>
      <c r="G171" s="46"/>
      <c r="H171" s="46"/>
      <c r="I171" s="47"/>
    </row>
    <row r="172" spans="2:9" x14ac:dyDescent="0.25">
      <c r="B172" s="23"/>
      <c r="I172" s="26"/>
    </row>
    <row r="173" spans="2:9" x14ac:dyDescent="0.25">
      <c r="B173" s="23"/>
      <c r="C173" s="55" t="s">
        <v>60</v>
      </c>
      <c r="D173" s="46"/>
      <c r="E173" s="46"/>
      <c r="F173" s="46"/>
      <c r="G173" s="46"/>
      <c r="H173" s="46"/>
      <c r="I173" s="47"/>
    </row>
    <row r="174" spans="2:9" x14ac:dyDescent="0.25">
      <c r="B174" s="23"/>
      <c r="I174" s="26"/>
    </row>
    <row r="175" spans="2:9" ht="77.849999999999994" customHeight="1" x14ac:dyDescent="0.25">
      <c r="B175" s="24" t="s">
        <v>179</v>
      </c>
      <c r="C175" s="19" t="s">
        <v>73</v>
      </c>
      <c r="D175" s="52" t="s">
        <v>180</v>
      </c>
      <c r="E175" s="53"/>
      <c r="F175" s="53"/>
      <c r="G175" s="53"/>
      <c r="H175" s="53"/>
      <c r="I175" s="54"/>
    </row>
    <row r="176" spans="2:9" x14ac:dyDescent="0.25">
      <c r="B176" s="23"/>
      <c r="I176" s="26"/>
    </row>
    <row r="177" spans="2:9" x14ac:dyDescent="0.25">
      <c r="B177" s="23"/>
      <c r="C177" s="55" t="s">
        <v>60</v>
      </c>
      <c r="D177" s="46"/>
      <c r="E177" s="46"/>
      <c r="F177" s="46"/>
      <c r="G177" s="46"/>
      <c r="H177" s="46"/>
      <c r="I177" s="47"/>
    </row>
    <row r="178" spans="2:9" x14ac:dyDescent="0.25">
      <c r="B178" s="23"/>
      <c r="I178" s="26"/>
    </row>
    <row r="179" spans="2:9" ht="77.849999999999994" customHeight="1" x14ac:dyDescent="0.25">
      <c r="B179" s="24" t="s">
        <v>181</v>
      </c>
      <c r="C179" s="19" t="s">
        <v>182</v>
      </c>
      <c r="D179" s="52" t="s">
        <v>183</v>
      </c>
      <c r="E179" s="53"/>
      <c r="F179" s="53"/>
      <c r="G179" s="53"/>
      <c r="H179" s="53"/>
      <c r="I179" s="54"/>
    </row>
    <row r="180" spans="2:9" x14ac:dyDescent="0.25">
      <c r="B180" s="23"/>
      <c r="C180" s="2" t="s">
        <v>184</v>
      </c>
      <c r="I180" s="26"/>
    </row>
    <row r="181" spans="2:9" x14ac:dyDescent="0.25">
      <c r="B181" s="23"/>
      <c r="I181" s="26"/>
    </row>
    <row r="182" spans="2:9" x14ac:dyDescent="0.25">
      <c r="B182" s="23"/>
      <c r="C182" s="51" t="s">
        <v>55</v>
      </c>
      <c r="D182" s="46"/>
      <c r="E182" s="46"/>
      <c r="F182" s="46"/>
      <c r="G182" s="46"/>
      <c r="H182" s="46"/>
      <c r="I182" s="47"/>
    </row>
    <row r="183" spans="2:9" x14ac:dyDescent="0.25">
      <c r="B183" s="23"/>
      <c r="I183" s="26"/>
    </row>
    <row r="184" spans="2:9" ht="92.25" customHeight="1" x14ac:dyDescent="0.25">
      <c r="B184" s="24" t="s">
        <v>185</v>
      </c>
      <c r="C184" s="19" t="s">
        <v>182</v>
      </c>
      <c r="D184" s="52" t="s">
        <v>186</v>
      </c>
      <c r="E184" s="53"/>
      <c r="F184" s="53"/>
      <c r="G184" s="53"/>
      <c r="H184" s="53"/>
      <c r="I184" s="54"/>
    </row>
    <row r="185" spans="2:9" x14ac:dyDescent="0.25">
      <c r="B185" s="23"/>
      <c r="C185" s="2" t="s">
        <v>187</v>
      </c>
      <c r="I185" s="26"/>
    </row>
    <row r="186" spans="2:9" x14ac:dyDescent="0.25">
      <c r="B186" s="23"/>
      <c r="I186" s="26"/>
    </row>
    <row r="187" spans="2:9" x14ac:dyDescent="0.25">
      <c r="B187" s="23"/>
      <c r="C187" s="55" t="s">
        <v>60</v>
      </c>
      <c r="D187" s="46"/>
      <c r="E187" s="46"/>
      <c r="F187" s="46"/>
      <c r="G187" s="46"/>
      <c r="H187" s="46"/>
      <c r="I187" s="47"/>
    </row>
    <row r="188" spans="2:9" x14ac:dyDescent="0.25">
      <c r="B188" s="23"/>
      <c r="I188" s="26"/>
    </row>
    <row r="189" spans="2:9" ht="19.899999999999999" customHeight="1" x14ac:dyDescent="0.25">
      <c r="B189" s="24" t="s">
        <v>188</v>
      </c>
      <c r="C189" s="19" t="s">
        <v>182</v>
      </c>
      <c r="D189" s="52" t="s">
        <v>189</v>
      </c>
      <c r="E189" s="53"/>
      <c r="F189" s="53"/>
      <c r="G189" s="53"/>
      <c r="H189" s="53"/>
      <c r="I189" s="54"/>
    </row>
    <row r="190" spans="2:9" x14ac:dyDescent="0.25">
      <c r="B190" s="23"/>
      <c r="C190" s="2" t="s">
        <v>190</v>
      </c>
      <c r="I190" s="26"/>
    </row>
    <row r="191" spans="2:9" x14ac:dyDescent="0.25">
      <c r="B191" s="23"/>
      <c r="I191" s="26"/>
    </row>
    <row r="192" spans="2:9" x14ac:dyDescent="0.25">
      <c r="B192" s="23"/>
      <c r="C192" s="55" t="s">
        <v>60</v>
      </c>
      <c r="D192" s="46"/>
      <c r="E192" s="46"/>
      <c r="F192" s="46"/>
      <c r="G192" s="46"/>
      <c r="H192" s="46"/>
      <c r="I192" s="47"/>
    </row>
    <row r="193" spans="2:10" x14ac:dyDescent="0.25">
      <c r="B193" s="25"/>
      <c r="C193" s="21"/>
      <c r="D193" s="21"/>
      <c r="E193" s="21"/>
      <c r="F193" s="21"/>
      <c r="G193" s="21"/>
      <c r="H193" s="21"/>
      <c r="I193" s="27"/>
    </row>
    <row r="195" spans="2:10" x14ac:dyDescent="0.25">
      <c r="B195" s="3" t="s">
        <v>79</v>
      </c>
    </row>
    <row r="196" spans="2:10" ht="19.899999999999999" customHeight="1" x14ac:dyDescent="0.25">
      <c r="B196" s="29" t="s">
        <v>191</v>
      </c>
      <c r="C196" s="42" t="s">
        <v>192</v>
      </c>
      <c r="D196" s="43"/>
      <c r="E196" s="43"/>
      <c r="F196" s="43"/>
      <c r="G196" s="43"/>
      <c r="H196" s="43"/>
      <c r="I196" s="44"/>
    </row>
    <row r="197" spans="2:10" ht="19.899999999999999" customHeight="1" x14ac:dyDescent="0.25">
      <c r="B197" s="30" t="s">
        <v>193</v>
      </c>
      <c r="C197" s="52" t="s">
        <v>194</v>
      </c>
      <c r="D197" s="53"/>
      <c r="E197" s="46"/>
      <c r="F197" s="46"/>
      <c r="G197" s="46"/>
      <c r="H197" s="46"/>
      <c r="I197" s="47"/>
    </row>
    <row r="198" spans="2:10" ht="19.899999999999999" customHeight="1" x14ac:dyDescent="0.25">
      <c r="B198" s="31" t="s">
        <v>195</v>
      </c>
      <c r="C198" s="59" t="s">
        <v>196</v>
      </c>
      <c r="D198" s="60"/>
      <c r="E198" s="49"/>
      <c r="F198" s="49"/>
      <c r="G198" s="49"/>
      <c r="H198" s="49"/>
      <c r="I198" s="50"/>
    </row>
    <row r="200" spans="2:10" x14ac:dyDescent="0.25">
      <c r="B200" s="3" t="s">
        <v>82</v>
      </c>
    </row>
    <row r="201" spans="2:10" ht="92.25" customHeight="1" x14ac:dyDescent="0.25">
      <c r="B201" s="29" t="s">
        <v>197</v>
      </c>
      <c r="C201" s="42" t="s">
        <v>198</v>
      </c>
      <c r="D201" s="43"/>
      <c r="E201" s="43"/>
      <c r="F201" s="43"/>
      <c r="G201" s="43"/>
      <c r="H201" s="43"/>
      <c r="I201" s="44"/>
    </row>
    <row r="202" spans="2:10" ht="19.899999999999999" customHeight="1" x14ac:dyDescent="0.25">
      <c r="B202" s="30" t="s">
        <v>199</v>
      </c>
      <c r="C202" s="52" t="s">
        <v>200</v>
      </c>
      <c r="D202" s="53"/>
      <c r="E202" s="46"/>
      <c r="F202" s="46"/>
      <c r="G202" s="46"/>
      <c r="H202" s="46"/>
      <c r="I202" s="47"/>
      <c r="J202" s="17" t="str">
        <f>HYPERLINK("#'Ändringshistorik'!C176", "Ändringshistorik: [133]")</f>
        <v>Ändringshistorik: [133]</v>
      </c>
    </row>
    <row r="203" spans="2:10" ht="19.899999999999999" customHeight="1" x14ac:dyDescent="0.25">
      <c r="B203" s="30" t="s">
        <v>201</v>
      </c>
      <c r="C203" s="52" t="s">
        <v>202</v>
      </c>
      <c r="D203" s="53"/>
      <c r="E203" s="46"/>
      <c r="F203" s="46"/>
      <c r="G203" s="46"/>
      <c r="H203" s="46"/>
      <c r="I203" s="47"/>
    </row>
    <row r="204" spans="2:10" ht="34.35" customHeight="1" x14ac:dyDescent="0.25">
      <c r="B204" s="30" t="s">
        <v>203</v>
      </c>
      <c r="C204" s="52" t="s">
        <v>204</v>
      </c>
      <c r="D204" s="53"/>
      <c r="E204" s="46"/>
      <c r="F204" s="46"/>
      <c r="G204" s="46"/>
      <c r="H204" s="46"/>
      <c r="I204" s="47"/>
      <c r="J204" s="17" t="str">
        <f>HYPERLINK("#'Ändringshistorik'!C118", "Ändringshistorik: [202]")</f>
        <v>Ändringshistorik: [202]</v>
      </c>
    </row>
    <row r="205" spans="2:10" ht="19.899999999999999" customHeight="1" x14ac:dyDescent="0.25">
      <c r="B205" s="30" t="s">
        <v>205</v>
      </c>
      <c r="C205" s="52" t="s">
        <v>206</v>
      </c>
      <c r="D205" s="53"/>
      <c r="E205" s="46"/>
      <c r="F205" s="46"/>
      <c r="G205" s="46"/>
      <c r="H205" s="46"/>
      <c r="I205" s="47"/>
      <c r="J205" s="17" t="str">
        <f>HYPERLINK("#'Ändringshistorik'!C119", "Ändringshistorik: [203]")</f>
        <v>Ändringshistorik: [203]</v>
      </c>
    </row>
    <row r="206" spans="2:10" ht="19.899999999999999" customHeight="1" x14ac:dyDescent="0.25">
      <c r="B206" s="30" t="s">
        <v>207</v>
      </c>
      <c r="C206" s="52" t="s">
        <v>208</v>
      </c>
      <c r="D206" s="53"/>
      <c r="E206" s="46"/>
      <c r="F206" s="46"/>
      <c r="G206" s="46"/>
      <c r="H206" s="46"/>
      <c r="I206" s="47"/>
    </row>
    <row r="207" spans="2:10" ht="48.95" customHeight="1" x14ac:dyDescent="0.25">
      <c r="B207" s="31" t="s">
        <v>209</v>
      </c>
      <c r="C207" s="59" t="s">
        <v>210</v>
      </c>
      <c r="D207" s="60"/>
      <c r="E207" s="49"/>
      <c r="F207" s="49"/>
      <c r="G207" s="49"/>
      <c r="H207" s="49"/>
      <c r="I207" s="50"/>
      <c r="J207" s="17" t="str">
        <f>HYPERLINK("#'Ändringshistorik'!C237", "Ändringshistorik: [93]")</f>
        <v>Ändringshistorik: [93]</v>
      </c>
    </row>
    <row r="211" spans="1:10" ht="19.899999999999999" customHeight="1" x14ac:dyDescent="0.25">
      <c r="A211" s="45" t="s">
        <v>5</v>
      </c>
      <c r="B211" s="46"/>
      <c r="C211" s="46"/>
      <c r="D211" s="46"/>
      <c r="E211" s="46"/>
      <c r="F211" s="46"/>
      <c r="G211" s="46"/>
      <c r="H211" s="46"/>
      <c r="I211" s="46"/>
    </row>
    <row r="212" spans="1:10" ht="18.75" x14ac:dyDescent="0.25">
      <c r="A212" s="16" t="s">
        <v>211</v>
      </c>
      <c r="B212" s="3" t="s">
        <v>47</v>
      </c>
      <c r="J212" s="17" t="str">
        <f>HYPERLINK("#'Ändringshistorik'!C357", "Ändringshistorik: [2] ,[101] ,[129] ,[184] ,[214] ,[215]")</f>
        <v>Ändringshistorik: [2] ,[101] ,[129] ,[184] ,[214] ,[215]</v>
      </c>
    </row>
    <row r="213" spans="1:10" ht="19.899999999999999" customHeight="1" x14ac:dyDescent="0.25">
      <c r="B213" s="22" t="s">
        <v>212</v>
      </c>
      <c r="C213" s="32" t="s">
        <v>213</v>
      </c>
      <c r="D213" s="42" t="s">
        <v>214</v>
      </c>
      <c r="E213" s="43"/>
      <c r="F213" s="43"/>
      <c r="G213" s="43"/>
      <c r="H213" s="43"/>
      <c r="I213" s="44"/>
    </row>
    <row r="214" spans="1:10" x14ac:dyDescent="0.25">
      <c r="B214" s="23"/>
      <c r="I214" s="26"/>
    </row>
    <row r="215" spans="1:10" x14ac:dyDescent="0.25">
      <c r="B215" s="23"/>
      <c r="C215" s="51" t="s">
        <v>55</v>
      </c>
      <c r="D215" s="46"/>
      <c r="E215" s="46"/>
      <c r="F215" s="46"/>
      <c r="G215" s="46"/>
      <c r="H215" s="46"/>
      <c r="I215" s="47"/>
    </row>
    <row r="216" spans="1:10" x14ac:dyDescent="0.25">
      <c r="B216" s="23"/>
      <c r="I216" s="26"/>
    </row>
    <row r="217" spans="1:10" ht="48.95" customHeight="1" x14ac:dyDescent="0.25">
      <c r="B217" s="24" t="s">
        <v>215</v>
      </c>
      <c r="C217" s="19" t="s">
        <v>213</v>
      </c>
      <c r="D217" s="52" t="s">
        <v>216</v>
      </c>
      <c r="E217" s="53"/>
      <c r="F217" s="53"/>
      <c r="G217" s="53"/>
      <c r="H217" s="53"/>
      <c r="I217" s="54"/>
    </row>
    <row r="218" spans="1:10" x14ac:dyDescent="0.25">
      <c r="B218" s="23"/>
      <c r="I218" s="26"/>
    </row>
    <row r="219" spans="1:10" x14ac:dyDescent="0.25">
      <c r="B219" s="23"/>
      <c r="C219" s="55" t="s">
        <v>60</v>
      </c>
      <c r="D219" s="46"/>
      <c r="E219" s="46"/>
      <c r="F219" s="46"/>
      <c r="G219" s="46"/>
      <c r="H219" s="46"/>
      <c r="I219" s="47"/>
    </row>
    <row r="220" spans="1:10" x14ac:dyDescent="0.25">
      <c r="B220" s="23"/>
      <c r="I220" s="26"/>
    </row>
    <row r="221" spans="1:10" ht="48.95" customHeight="1" x14ac:dyDescent="0.25">
      <c r="B221" s="24" t="s">
        <v>217</v>
      </c>
      <c r="C221" s="19" t="s">
        <v>213</v>
      </c>
      <c r="D221" s="52" t="s">
        <v>218</v>
      </c>
      <c r="E221" s="53"/>
      <c r="F221" s="53"/>
      <c r="G221" s="53"/>
      <c r="H221" s="53"/>
      <c r="I221" s="54"/>
    </row>
    <row r="222" spans="1:10" x14ac:dyDescent="0.25">
      <c r="B222" s="23"/>
      <c r="I222" s="26"/>
    </row>
    <row r="223" spans="1:10" x14ac:dyDescent="0.25">
      <c r="B223" s="23"/>
      <c r="C223" s="55" t="s">
        <v>60</v>
      </c>
      <c r="D223" s="46"/>
      <c r="E223" s="46"/>
      <c r="F223" s="46"/>
      <c r="G223" s="46"/>
      <c r="H223" s="46"/>
      <c r="I223" s="47"/>
    </row>
    <row r="224" spans="1:10" x14ac:dyDescent="0.25">
      <c r="B224" s="23"/>
      <c r="I224" s="26"/>
    </row>
    <row r="225" spans="2:10" ht="106.7" customHeight="1" x14ac:dyDescent="0.25">
      <c r="B225" s="24" t="s">
        <v>219</v>
      </c>
      <c r="C225" s="19" t="s">
        <v>220</v>
      </c>
      <c r="D225" s="52" t="s">
        <v>221</v>
      </c>
      <c r="E225" s="53"/>
      <c r="F225" s="53"/>
      <c r="G225" s="53"/>
      <c r="H225" s="53"/>
      <c r="I225" s="54"/>
      <c r="J225" s="17" t="str">
        <f>HYPERLINK("#'Ändringshistorik'!C238", "Ändringshistorik: [94]")</f>
        <v>Ändringshistorik: [94]</v>
      </c>
    </row>
    <row r="226" spans="2:10" x14ac:dyDescent="0.25">
      <c r="B226" s="23"/>
      <c r="C226" s="2" t="s">
        <v>222</v>
      </c>
      <c r="I226" s="26"/>
    </row>
    <row r="227" spans="2:10" x14ac:dyDescent="0.25">
      <c r="B227" s="23"/>
      <c r="I227" s="26"/>
    </row>
    <row r="228" spans="2:10" x14ac:dyDescent="0.25">
      <c r="B228" s="23"/>
      <c r="C228" s="55" t="s">
        <v>60</v>
      </c>
      <c r="D228" s="46"/>
      <c r="E228" s="46"/>
      <c r="F228" s="46"/>
      <c r="G228" s="46"/>
      <c r="H228" s="46"/>
      <c r="I228" s="47"/>
    </row>
    <row r="229" spans="2:10" x14ac:dyDescent="0.25">
      <c r="B229" s="23"/>
      <c r="I229" s="26"/>
    </row>
    <row r="230" spans="2:10" ht="207.95" customHeight="1" x14ac:dyDescent="0.25">
      <c r="B230" s="24" t="s">
        <v>223</v>
      </c>
      <c r="C230" s="19" t="s">
        <v>69</v>
      </c>
      <c r="D230" s="52" t="s">
        <v>224</v>
      </c>
      <c r="E230" s="53"/>
      <c r="F230" s="53"/>
      <c r="G230" s="53"/>
      <c r="H230" s="53"/>
      <c r="I230" s="54"/>
    </row>
    <row r="231" spans="2:10" x14ac:dyDescent="0.25">
      <c r="B231" s="23"/>
      <c r="C231" s="2" t="s">
        <v>170</v>
      </c>
      <c r="I231" s="26"/>
    </row>
    <row r="232" spans="2:10" x14ac:dyDescent="0.25">
      <c r="B232" s="23"/>
      <c r="I232" s="26"/>
    </row>
    <row r="233" spans="2:10" x14ac:dyDescent="0.25">
      <c r="B233" s="23"/>
      <c r="C233" s="51" t="s">
        <v>55</v>
      </c>
      <c r="D233" s="46"/>
      <c r="E233" s="46"/>
      <c r="F233" s="46"/>
      <c r="G233" s="46"/>
      <c r="H233" s="46"/>
      <c r="I233" s="47"/>
    </row>
    <row r="234" spans="2:10" x14ac:dyDescent="0.25">
      <c r="B234" s="23"/>
      <c r="I234" s="26"/>
    </row>
    <row r="235" spans="2:10" ht="19.899999999999999" customHeight="1" x14ac:dyDescent="0.25">
      <c r="B235" s="24" t="s">
        <v>225</v>
      </c>
      <c r="C235" s="18" t="s">
        <v>49</v>
      </c>
      <c r="D235" s="52" t="s">
        <v>226</v>
      </c>
      <c r="E235" s="53"/>
      <c r="F235" s="53"/>
      <c r="G235" s="53"/>
      <c r="H235" s="53"/>
      <c r="I235" s="54"/>
      <c r="J235" s="17" t="str">
        <f>HYPERLINK("#'Ändringshistorik'!C170", "Ändringshistorik: [182]")</f>
        <v>Ändringshistorik: [182]</v>
      </c>
    </row>
    <row r="236" spans="2:10" ht="19.899999999999999" customHeight="1" x14ac:dyDescent="0.25">
      <c r="B236" s="23"/>
      <c r="C236" s="2" t="s">
        <v>227</v>
      </c>
      <c r="D236" s="45" t="s">
        <v>228</v>
      </c>
      <c r="E236" s="46"/>
      <c r="F236" s="46"/>
      <c r="G236" s="46"/>
      <c r="H236" s="46"/>
      <c r="I236" s="47"/>
    </row>
    <row r="237" spans="2:10" ht="19.899999999999999" customHeight="1" x14ac:dyDescent="0.25">
      <c r="B237" s="23"/>
      <c r="C237" s="2" t="s">
        <v>229</v>
      </c>
      <c r="D237" s="45" t="s">
        <v>230</v>
      </c>
      <c r="E237" s="46"/>
      <c r="F237" s="46"/>
      <c r="G237" s="46"/>
      <c r="H237" s="46"/>
      <c r="I237" s="47"/>
    </row>
    <row r="238" spans="2:10" ht="19.899999999999999" customHeight="1" x14ac:dyDescent="0.25">
      <c r="B238" s="23"/>
      <c r="C238" s="2" t="s">
        <v>231</v>
      </c>
      <c r="D238" s="45" t="s">
        <v>232</v>
      </c>
      <c r="E238" s="46"/>
      <c r="F238" s="46"/>
      <c r="G238" s="46"/>
      <c r="H238" s="46"/>
      <c r="I238" s="47"/>
    </row>
    <row r="239" spans="2:10" ht="19.899999999999999" customHeight="1" x14ac:dyDescent="0.25">
      <c r="B239" s="23"/>
      <c r="C239" s="2" t="s">
        <v>233</v>
      </c>
      <c r="D239" s="45" t="s">
        <v>234</v>
      </c>
      <c r="E239" s="46"/>
      <c r="F239" s="46"/>
      <c r="G239" s="46"/>
      <c r="H239" s="46"/>
      <c r="I239" s="47"/>
    </row>
    <row r="240" spans="2:10" ht="19.899999999999999" customHeight="1" x14ac:dyDescent="0.25">
      <c r="B240" s="23"/>
      <c r="C240" s="2" t="s">
        <v>235</v>
      </c>
      <c r="D240" s="45" t="s">
        <v>236</v>
      </c>
      <c r="E240" s="46"/>
      <c r="F240" s="46"/>
      <c r="G240" s="46"/>
      <c r="H240" s="46"/>
      <c r="I240" s="47"/>
    </row>
    <row r="241" spans="2:10" ht="19.899999999999999" customHeight="1" x14ac:dyDescent="0.25">
      <c r="B241" s="23"/>
      <c r="C241" s="2" t="s">
        <v>237</v>
      </c>
      <c r="D241" s="45" t="s">
        <v>238</v>
      </c>
      <c r="E241" s="46"/>
      <c r="F241" s="46"/>
      <c r="G241" s="46"/>
      <c r="H241" s="46"/>
      <c r="I241" s="47"/>
    </row>
    <row r="242" spans="2:10" ht="19.899999999999999" customHeight="1" x14ac:dyDescent="0.25">
      <c r="B242" s="23"/>
      <c r="C242" s="2" t="s">
        <v>239</v>
      </c>
      <c r="D242" s="45" t="s">
        <v>240</v>
      </c>
      <c r="E242" s="46"/>
      <c r="F242" s="46"/>
      <c r="G242" s="46"/>
      <c r="H242" s="46"/>
      <c r="I242" s="47"/>
    </row>
    <row r="243" spans="2:10" x14ac:dyDescent="0.25">
      <c r="B243" s="23"/>
      <c r="I243" s="26"/>
    </row>
    <row r="244" spans="2:10" x14ac:dyDescent="0.25">
      <c r="B244" s="23"/>
      <c r="C244" s="51" t="s">
        <v>55</v>
      </c>
      <c r="D244" s="46"/>
      <c r="E244" s="46"/>
      <c r="F244" s="46"/>
      <c r="G244" s="46"/>
      <c r="H244" s="46"/>
      <c r="I244" s="47"/>
    </row>
    <row r="245" spans="2:10" x14ac:dyDescent="0.25">
      <c r="B245" s="23"/>
      <c r="I245" s="26"/>
    </row>
    <row r="246" spans="2:10" ht="19.899999999999999" customHeight="1" x14ac:dyDescent="0.25">
      <c r="B246" s="24" t="s">
        <v>241</v>
      </c>
      <c r="C246" s="18" t="s">
        <v>49</v>
      </c>
      <c r="D246" s="52" t="s">
        <v>242</v>
      </c>
      <c r="E246" s="53"/>
      <c r="F246" s="53"/>
      <c r="G246" s="53"/>
      <c r="H246" s="53"/>
      <c r="I246" s="54"/>
      <c r="J246" s="17" t="str">
        <f>HYPERLINK("#'Ändringshistorik'!C120", "Ändringshistorik: [204] ,[205] ,[206] ,[207] ,[208]")</f>
        <v>Ändringshistorik: [204] ,[205] ,[206] ,[207] ,[208]</v>
      </c>
    </row>
    <row r="247" spans="2:10" ht="19.899999999999999" customHeight="1" x14ac:dyDescent="0.25">
      <c r="B247" s="23"/>
      <c r="C247" s="2" t="s">
        <v>243</v>
      </c>
      <c r="D247" s="45" t="s">
        <v>244</v>
      </c>
      <c r="E247" s="46"/>
      <c r="F247" s="46"/>
      <c r="G247" s="46"/>
      <c r="H247" s="46"/>
      <c r="I247" s="47"/>
    </row>
    <row r="248" spans="2:10" ht="19.899999999999999" customHeight="1" x14ac:dyDescent="0.25">
      <c r="B248" s="23"/>
      <c r="C248" s="2" t="s">
        <v>245</v>
      </c>
      <c r="D248" s="45" t="s">
        <v>246</v>
      </c>
      <c r="E248" s="46"/>
      <c r="F248" s="46"/>
      <c r="G248" s="46"/>
      <c r="H248" s="46"/>
      <c r="I248" s="47"/>
    </row>
    <row r="249" spans="2:10" ht="19.899999999999999" customHeight="1" x14ac:dyDescent="0.25">
      <c r="B249" s="23"/>
      <c r="C249" s="2" t="s">
        <v>247</v>
      </c>
      <c r="D249" s="45" t="s">
        <v>248</v>
      </c>
      <c r="E249" s="46"/>
      <c r="F249" s="46"/>
      <c r="G249" s="46"/>
      <c r="H249" s="46"/>
      <c r="I249" s="47"/>
    </row>
    <row r="250" spans="2:10" ht="19.899999999999999" customHeight="1" x14ac:dyDescent="0.25">
      <c r="B250" s="23"/>
      <c r="C250" s="2" t="s">
        <v>249</v>
      </c>
      <c r="D250" s="45" t="s">
        <v>250</v>
      </c>
      <c r="E250" s="46"/>
      <c r="F250" s="46"/>
      <c r="G250" s="46"/>
      <c r="H250" s="46"/>
      <c r="I250" s="47"/>
    </row>
    <row r="251" spans="2:10" ht="19.899999999999999" customHeight="1" x14ac:dyDescent="0.25">
      <c r="B251" s="23"/>
      <c r="C251" s="2" t="s">
        <v>251</v>
      </c>
      <c r="D251" s="45" t="s">
        <v>252</v>
      </c>
      <c r="E251" s="46"/>
      <c r="F251" s="46"/>
      <c r="G251" s="46"/>
      <c r="H251" s="46"/>
      <c r="I251" s="47"/>
    </row>
    <row r="252" spans="2:10" ht="19.899999999999999" customHeight="1" x14ac:dyDescent="0.25">
      <c r="B252" s="23"/>
      <c r="C252" s="2" t="s">
        <v>253</v>
      </c>
      <c r="D252" s="45" t="s">
        <v>254</v>
      </c>
      <c r="E252" s="46"/>
      <c r="F252" s="46"/>
      <c r="G252" s="46"/>
      <c r="H252" s="46"/>
      <c r="I252" s="47"/>
    </row>
    <row r="253" spans="2:10" ht="19.899999999999999" customHeight="1" x14ac:dyDescent="0.25">
      <c r="B253" s="23"/>
      <c r="C253" s="2" t="s">
        <v>255</v>
      </c>
      <c r="D253" s="45" t="s">
        <v>256</v>
      </c>
      <c r="E253" s="46"/>
      <c r="F253" s="46"/>
      <c r="G253" s="46"/>
      <c r="H253" s="46"/>
      <c r="I253" s="47"/>
    </row>
    <row r="254" spans="2:10" ht="19.899999999999999" customHeight="1" x14ac:dyDescent="0.25">
      <c r="B254" s="23"/>
      <c r="C254" s="2" t="s">
        <v>257</v>
      </c>
      <c r="D254" s="45" t="s">
        <v>258</v>
      </c>
      <c r="E254" s="46"/>
      <c r="F254" s="46"/>
      <c r="G254" s="46"/>
      <c r="H254" s="46"/>
      <c r="I254" s="47"/>
    </row>
    <row r="255" spans="2:10" ht="19.899999999999999" customHeight="1" x14ac:dyDescent="0.25">
      <c r="B255" s="23"/>
      <c r="C255" s="2" t="s">
        <v>259</v>
      </c>
      <c r="D255" s="45" t="s">
        <v>260</v>
      </c>
      <c r="E255" s="46"/>
      <c r="F255" s="46"/>
      <c r="G255" s="46"/>
      <c r="H255" s="46"/>
      <c r="I255" s="47"/>
    </row>
    <row r="256" spans="2:10" ht="19.899999999999999" customHeight="1" x14ac:dyDescent="0.25">
      <c r="B256" s="23"/>
      <c r="C256" s="2" t="s">
        <v>261</v>
      </c>
      <c r="D256" s="45" t="s">
        <v>262</v>
      </c>
      <c r="E256" s="46"/>
      <c r="F256" s="46"/>
      <c r="G256" s="46"/>
      <c r="H256" s="46"/>
      <c r="I256" s="47"/>
    </row>
    <row r="257" spans="2:9" ht="19.899999999999999" customHeight="1" x14ac:dyDescent="0.25">
      <c r="B257" s="23"/>
      <c r="C257" s="2" t="s">
        <v>263</v>
      </c>
      <c r="D257" s="45" t="s">
        <v>264</v>
      </c>
      <c r="E257" s="46"/>
      <c r="F257" s="46"/>
      <c r="G257" s="46"/>
      <c r="H257" s="46"/>
      <c r="I257" s="47"/>
    </row>
    <row r="258" spans="2:9" ht="19.899999999999999" customHeight="1" x14ac:dyDescent="0.25">
      <c r="B258" s="23"/>
      <c r="C258" s="2" t="s">
        <v>265</v>
      </c>
      <c r="D258" s="45" t="s">
        <v>266</v>
      </c>
      <c r="E258" s="46"/>
      <c r="F258" s="46"/>
      <c r="G258" s="46"/>
      <c r="H258" s="46"/>
      <c r="I258" s="47"/>
    </row>
    <row r="259" spans="2:9" ht="19.899999999999999" customHeight="1" x14ac:dyDescent="0.25">
      <c r="B259" s="23"/>
      <c r="C259" s="2" t="s">
        <v>267</v>
      </c>
      <c r="D259" s="45" t="s">
        <v>268</v>
      </c>
      <c r="E259" s="46"/>
      <c r="F259" s="46"/>
      <c r="G259" s="46"/>
      <c r="H259" s="46"/>
      <c r="I259" s="47"/>
    </row>
    <row r="260" spans="2:9" ht="19.899999999999999" customHeight="1" x14ac:dyDescent="0.25">
      <c r="B260" s="23"/>
      <c r="C260" s="2" t="s">
        <v>269</v>
      </c>
      <c r="D260" s="45" t="s">
        <v>270</v>
      </c>
      <c r="E260" s="46"/>
      <c r="F260" s="46"/>
      <c r="G260" s="46"/>
      <c r="H260" s="46"/>
      <c r="I260" s="47"/>
    </row>
    <row r="261" spans="2:9" ht="19.899999999999999" customHeight="1" x14ac:dyDescent="0.25">
      <c r="B261" s="23"/>
      <c r="C261" s="2" t="s">
        <v>271</v>
      </c>
      <c r="D261" s="45" t="s">
        <v>272</v>
      </c>
      <c r="E261" s="46"/>
      <c r="F261" s="46"/>
      <c r="G261" s="46"/>
      <c r="H261" s="46"/>
      <c r="I261" s="47"/>
    </row>
    <row r="262" spans="2:9" x14ac:dyDescent="0.25">
      <c r="B262" s="23"/>
      <c r="I262" s="26"/>
    </row>
    <row r="263" spans="2:9" x14ac:dyDescent="0.25">
      <c r="B263" s="23"/>
      <c r="C263" s="51" t="s">
        <v>55</v>
      </c>
      <c r="D263" s="46"/>
      <c r="E263" s="46"/>
      <c r="F263" s="46"/>
      <c r="G263" s="46"/>
      <c r="H263" s="46"/>
      <c r="I263" s="47"/>
    </row>
    <row r="264" spans="2:9" x14ac:dyDescent="0.25">
      <c r="B264" s="23"/>
      <c r="I264" s="26"/>
    </row>
    <row r="265" spans="2:9" ht="34.35" customHeight="1" x14ac:dyDescent="0.25">
      <c r="B265" s="24" t="s">
        <v>273</v>
      </c>
      <c r="C265" s="18" t="s">
        <v>49</v>
      </c>
      <c r="D265" s="52" t="s">
        <v>274</v>
      </c>
      <c r="E265" s="53"/>
      <c r="F265" s="53"/>
      <c r="G265" s="53"/>
      <c r="H265" s="53"/>
      <c r="I265" s="54"/>
    </row>
    <row r="266" spans="2:9" ht="19.899999999999999" customHeight="1" x14ac:dyDescent="0.25">
      <c r="B266" s="23"/>
      <c r="C266" s="2" t="s">
        <v>275</v>
      </c>
      <c r="D266" s="45" t="s">
        <v>276</v>
      </c>
      <c r="E266" s="46"/>
      <c r="F266" s="46"/>
      <c r="G266" s="46"/>
      <c r="H266" s="46"/>
      <c r="I266" s="47"/>
    </row>
    <row r="267" spans="2:9" ht="19.899999999999999" customHeight="1" x14ac:dyDescent="0.25">
      <c r="B267" s="23"/>
      <c r="C267" s="2" t="s">
        <v>277</v>
      </c>
      <c r="D267" s="45" t="s">
        <v>278</v>
      </c>
      <c r="E267" s="46"/>
      <c r="F267" s="46"/>
      <c r="G267" s="46"/>
      <c r="H267" s="46"/>
      <c r="I267" s="47"/>
    </row>
    <row r="268" spans="2:9" ht="19.899999999999999" customHeight="1" x14ac:dyDescent="0.25">
      <c r="B268" s="23"/>
      <c r="C268" s="2" t="s">
        <v>279</v>
      </c>
      <c r="D268" s="45" t="s">
        <v>280</v>
      </c>
      <c r="E268" s="46"/>
      <c r="F268" s="46"/>
      <c r="G268" s="46"/>
      <c r="H268" s="46"/>
      <c r="I268" s="47"/>
    </row>
    <row r="269" spans="2:9" x14ac:dyDescent="0.25">
      <c r="B269" s="23"/>
      <c r="I269" s="26"/>
    </row>
    <row r="270" spans="2:9" x14ac:dyDescent="0.25">
      <c r="B270" s="23"/>
      <c r="C270" s="55" t="s">
        <v>60</v>
      </c>
      <c r="D270" s="46"/>
      <c r="E270" s="46"/>
      <c r="F270" s="46"/>
      <c r="G270" s="46"/>
      <c r="H270" s="46"/>
      <c r="I270" s="47"/>
    </row>
    <row r="271" spans="2:9" x14ac:dyDescent="0.25">
      <c r="B271" s="23"/>
      <c r="I271" s="26"/>
    </row>
    <row r="272" spans="2:9" ht="34.35" customHeight="1" x14ac:dyDescent="0.25">
      <c r="B272" s="24" t="s">
        <v>281</v>
      </c>
      <c r="C272" s="19" t="s">
        <v>220</v>
      </c>
      <c r="D272" s="52" t="s">
        <v>282</v>
      </c>
      <c r="E272" s="53"/>
      <c r="F272" s="53"/>
      <c r="G272" s="53"/>
      <c r="H272" s="53"/>
      <c r="I272" s="54"/>
    </row>
    <row r="273" spans="2:10" x14ac:dyDescent="0.25">
      <c r="B273" s="23"/>
      <c r="C273" s="2" t="s">
        <v>222</v>
      </c>
      <c r="I273" s="26"/>
    </row>
    <row r="274" spans="2:10" x14ac:dyDescent="0.25">
      <c r="B274" s="23"/>
      <c r="I274" s="26"/>
    </row>
    <row r="275" spans="2:10" x14ac:dyDescent="0.25">
      <c r="B275" s="23"/>
      <c r="C275" s="51" t="s">
        <v>55</v>
      </c>
      <c r="D275" s="46"/>
      <c r="E275" s="46"/>
      <c r="F275" s="46"/>
      <c r="G275" s="46"/>
      <c r="H275" s="46"/>
      <c r="I275" s="47"/>
    </row>
    <row r="276" spans="2:10" x14ac:dyDescent="0.25">
      <c r="B276" s="23"/>
      <c r="I276" s="26"/>
    </row>
    <row r="277" spans="2:10" ht="135.6" customHeight="1" x14ac:dyDescent="0.25">
      <c r="B277" s="24" t="s">
        <v>283</v>
      </c>
      <c r="C277" s="18" t="s">
        <v>49</v>
      </c>
      <c r="D277" s="52" t="s">
        <v>284</v>
      </c>
      <c r="E277" s="53"/>
      <c r="F277" s="53"/>
      <c r="G277" s="53"/>
      <c r="H277" s="53"/>
      <c r="I277" s="54"/>
    </row>
    <row r="278" spans="2:10" ht="19.899999999999999" customHeight="1" x14ac:dyDescent="0.25">
      <c r="B278" s="23"/>
      <c r="C278" s="2" t="s">
        <v>285</v>
      </c>
      <c r="D278" s="45" t="s">
        <v>286</v>
      </c>
      <c r="E278" s="46"/>
      <c r="F278" s="46"/>
      <c r="G278" s="46"/>
      <c r="H278" s="46"/>
      <c r="I278" s="47"/>
    </row>
    <row r="279" spans="2:10" ht="19.899999999999999" customHeight="1" x14ac:dyDescent="0.25">
      <c r="B279" s="23"/>
      <c r="C279" s="2" t="s">
        <v>287</v>
      </c>
      <c r="D279" s="45" t="s">
        <v>288</v>
      </c>
      <c r="E279" s="46"/>
      <c r="F279" s="46"/>
      <c r="G279" s="46"/>
      <c r="H279" s="46"/>
      <c r="I279" s="47"/>
    </row>
    <row r="280" spans="2:10" ht="19.899999999999999" customHeight="1" x14ac:dyDescent="0.25">
      <c r="B280" s="23"/>
      <c r="C280" s="2" t="s">
        <v>289</v>
      </c>
      <c r="D280" s="45" t="s">
        <v>290</v>
      </c>
      <c r="E280" s="46"/>
      <c r="F280" s="46"/>
      <c r="G280" s="46"/>
      <c r="H280" s="46"/>
      <c r="I280" s="47"/>
    </row>
    <row r="281" spans="2:10" x14ac:dyDescent="0.25">
      <c r="B281" s="23"/>
      <c r="I281" s="26"/>
    </row>
    <row r="282" spans="2:10" x14ac:dyDescent="0.25">
      <c r="B282" s="23"/>
      <c r="C282" s="55" t="s">
        <v>60</v>
      </c>
      <c r="D282" s="46"/>
      <c r="E282" s="46"/>
      <c r="F282" s="46"/>
      <c r="G282" s="46"/>
      <c r="H282" s="46"/>
      <c r="I282" s="47"/>
    </row>
    <row r="283" spans="2:10" x14ac:dyDescent="0.25">
      <c r="B283" s="23"/>
      <c r="I283" s="26"/>
    </row>
    <row r="284" spans="2:10" ht="222.4" customHeight="1" x14ac:dyDescent="0.25">
      <c r="B284" s="24" t="s">
        <v>291</v>
      </c>
      <c r="C284" s="19" t="s">
        <v>213</v>
      </c>
      <c r="D284" s="52" t="s">
        <v>292</v>
      </c>
      <c r="E284" s="53"/>
      <c r="F284" s="53"/>
      <c r="G284" s="53"/>
      <c r="H284" s="53"/>
      <c r="I284" s="54"/>
    </row>
    <row r="285" spans="2:10" x14ac:dyDescent="0.25">
      <c r="B285" s="23"/>
      <c r="I285" s="26"/>
    </row>
    <row r="286" spans="2:10" x14ac:dyDescent="0.25">
      <c r="B286" s="23"/>
      <c r="C286" s="55" t="s">
        <v>60</v>
      </c>
      <c r="D286" s="46"/>
      <c r="E286" s="46"/>
      <c r="F286" s="46"/>
      <c r="G286" s="46"/>
      <c r="H286" s="46"/>
      <c r="I286" s="47"/>
    </row>
    <row r="287" spans="2:10" x14ac:dyDescent="0.25">
      <c r="B287" s="23"/>
      <c r="I287" s="26"/>
    </row>
    <row r="288" spans="2:10" ht="19.899999999999999" customHeight="1" x14ac:dyDescent="0.25">
      <c r="B288" s="24" t="s">
        <v>293</v>
      </c>
      <c r="C288" s="18" t="s">
        <v>49</v>
      </c>
      <c r="D288" s="52" t="s">
        <v>294</v>
      </c>
      <c r="E288" s="53"/>
      <c r="F288" s="53"/>
      <c r="G288" s="53"/>
      <c r="H288" s="53"/>
      <c r="I288" s="54"/>
      <c r="J288" s="17" t="str">
        <f>HYPERLINK("#'Ändringshistorik'!C125", "Ändringshistorik: [209] ,[210] ,[211] ,[212]")</f>
        <v>Ändringshistorik: [209] ,[210] ,[211] ,[212]</v>
      </c>
    </row>
    <row r="289" spans="2:9" ht="19.899999999999999" customHeight="1" x14ac:dyDescent="0.25">
      <c r="B289" s="23"/>
      <c r="C289" s="2" t="s">
        <v>251</v>
      </c>
      <c r="D289" s="45" t="s">
        <v>252</v>
      </c>
      <c r="E289" s="46"/>
      <c r="F289" s="46"/>
      <c r="G289" s="46"/>
      <c r="H289" s="46"/>
      <c r="I289" s="47"/>
    </row>
    <row r="290" spans="2:9" ht="19.899999999999999" customHeight="1" x14ac:dyDescent="0.25">
      <c r="B290" s="23"/>
      <c r="C290" s="2" t="s">
        <v>249</v>
      </c>
      <c r="D290" s="45" t="s">
        <v>250</v>
      </c>
      <c r="E290" s="46"/>
      <c r="F290" s="46"/>
      <c r="G290" s="46"/>
      <c r="H290" s="46"/>
      <c r="I290" s="47"/>
    </row>
    <row r="291" spans="2:9" ht="19.899999999999999" customHeight="1" x14ac:dyDescent="0.25">
      <c r="B291" s="23"/>
      <c r="C291" s="2" t="s">
        <v>245</v>
      </c>
      <c r="D291" s="45" t="s">
        <v>295</v>
      </c>
      <c r="E291" s="46"/>
      <c r="F291" s="46"/>
      <c r="G291" s="46"/>
      <c r="H291" s="46"/>
      <c r="I291" s="47"/>
    </row>
    <row r="292" spans="2:9" ht="19.899999999999999" customHeight="1" x14ac:dyDescent="0.25">
      <c r="B292" s="23"/>
      <c r="C292" s="2" t="s">
        <v>261</v>
      </c>
      <c r="D292" s="45" t="s">
        <v>262</v>
      </c>
      <c r="E292" s="46"/>
      <c r="F292" s="46"/>
      <c r="G292" s="46"/>
      <c r="H292" s="46"/>
      <c r="I292" s="47"/>
    </row>
    <row r="293" spans="2:9" ht="19.899999999999999" customHeight="1" x14ac:dyDescent="0.25">
      <c r="B293" s="23"/>
      <c r="C293" s="2" t="s">
        <v>296</v>
      </c>
      <c r="D293" s="45" t="s">
        <v>297</v>
      </c>
      <c r="E293" s="46"/>
      <c r="F293" s="46"/>
      <c r="G293" s="46"/>
      <c r="H293" s="46"/>
      <c r="I293" s="47"/>
    </row>
    <row r="294" spans="2:9" ht="19.899999999999999" customHeight="1" x14ac:dyDescent="0.25">
      <c r="B294" s="23"/>
      <c r="C294" s="2" t="s">
        <v>298</v>
      </c>
      <c r="D294" s="45" t="s">
        <v>299</v>
      </c>
      <c r="E294" s="46"/>
      <c r="F294" s="46"/>
      <c r="G294" s="46"/>
      <c r="H294" s="46"/>
      <c r="I294" s="47"/>
    </row>
    <row r="295" spans="2:9" ht="19.899999999999999" customHeight="1" x14ac:dyDescent="0.25">
      <c r="B295" s="23"/>
      <c r="C295" s="2" t="s">
        <v>300</v>
      </c>
      <c r="D295" s="45" t="s">
        <v>301</v>
      </c>
      <c r="E295" s="46"/>
      <c r="F295" s="46"/>
      <c r="G295" s="46"/>
      <c r="H295" s="46"/>
      <c r="I295" s="47"/>
    </row>
    <row r="296" spans="2:9" ht="19.899999999999999" customHeight="1" x14ac:dyDescent="0.25">
      <c r="B296" s="23"/>
      <c r="C296" s="2" t="s">
        <v>265</v>
      </c>
      <c r="D296" s="45" t="s">
        <v>266</v>
      </c>
      <c r="E296" s="46"/>
      <c r="F296" s="46"/>
      <c r="G296" s="46"/>
      <c r="H296" s="46"/>
      <c r="I296" s="47"/>
    </row>
    <row r="297" spans="2:9" ht="19.899999999999999" customHeight="1" x14ac:dyDescent="0.25">
      <c r="B297" s="23"/>
      <c r="C297" s="2" t="s">
        <v>302</v>
      </c>
      <c r="D297" s="45" t="s">
        <v>303</v>
      </c>
      <c r="E297" s="46"/>
      <c r="F297" s="46"/>
      <c r="G297" s="46"/>
      <c r="H297" s="46"/>
      <c r="I297" s="47"/>
    </row>
    <row r="298" spans="2:9" x14ac:dyDescent="0.25">
      <c r="B298" s="23"/>
      <c r="I298" s="26"/>
    </row>
    <row r="299" spans="2:9" x14ac:dyDescent="0.25">
      <c r="B299" s="23"/>
      <c r="C299" s="51" t="s">
        <v>55</v>
      </c>
      <c r="D299" s="46"/>
      <c r="E299" s="46"/>
      <c r="F299" s="46"/>
      <c r="G299" s="46"/>
      <c r="H299" s="46"/>
      <c r="I299" s="47"/>
    </row>
    <row r="300" spans="2:9" x14ac:dyDescent="0.25">
      <c r="B300" s="23"/>
      <c r="I300" s="26"/>
    </row>
    <row r="301" spans="2:9" ht="63.4" customHeight="1" x14ac:dyDescent="0.25">
      <c r="B301" s="24" t="s">
        <v>304</v>
      </c>
      <c r="C301" s="18" t="s">
        <v>49</v>
      </c>
      <c r="D301" s="52" t="s">
        <v>305</v>
      </c>
      <c r="E301" s="53"/>
      <c r="F301" s="53"/>
      <c r="G301" s="53"/>
      <c r="H301" s="53"/>
      <c r="I301" s="54"/>
    </row>
    <row r="302" spans="2:9" ht="19.899999999999999" customHeight="1" x14ac:dyDescent="0.25">
      <c r="B302" s="23"/>
      <c r="C302" s="2" t="s">
        <v>275</v>
      </c>
      <c r="D302" s="45" t="s">
        <v>306</v>
      </c>
      <c r="E302" s="46"/>
      <c r="F302" s="46"/>
      <c r="G302" s="46"/>
      <c r="H302" s="46"/>
      <c r="I302" s="47"/>
    </row>
    <row r="303" spans="2:9" ht="19.899999999999999" customHeight="1" x14ac:dyDescent="0.25">
      <c r="B303" s="23"/>
      <c r="C303" s="2" t="s">
        <v>277</v>
      </c>
      <c r="D303" s="45" t="s">
        <v>307</v>
      </c>
      <c r="E303" s="46"/>
      <c r="F303" s="46"/>
      <c r="G303" s="46"/>
      <c r="H303" s="46"/>
      <c r="I303" s="47"/>
    </row>
    <row r="304" spans="2:9" ht="19.899999999999999" customHeight="1" x14ac:dyDescent="0.25">
      <c r="B304" s="23"/>
      <c r="C304" s="2" t="s">
        <v>279</v>
      </c>
      <c r="D304" s="45" t="s">
        <v>308</v>
      </c>
      <c r="E304" s="46"/>
      <c r="F304" s="46"/>
      <c r="G304" s="46"/>
      <c r="H304" s="46"/>
      <c r="I304" s="47"/>
    </row>
    <row r="305" spans="2:9" x14ac:dyDescent="0.25">
      <c r="B305" s="23"/>
      <c r="I305" s="26"/>
    </row>
    <row r="306" spans="2:9" x14ac:dyDescent="0.25">
      <c r="B306" s="23"/>
      <c r="C306" s="55" t="s">
        <v>60</v>
      </c>
      <c r="D306" s="46"/>
      <c r="E306" s="46"/>
      <c r="F306" s="46"/>
      <c r="G306" s="46"/>
      <c r="H306" s="46"/>
      <c r="I306" s="47"/>
    </row>
    <row r="307" spans="2:9" x14ac:dyDescent="0.25">
      <c r="B307" s="23"/>
      <c r="I307" s="26"/>
    </row>
    <row r="308" spans="2:9" ht="19.899999999999999" customHeight="1" x14ac:dyDescent="0.25">
      <c r="B308" s="24" t="s">
        <v>309</v>
      </c>
      <c r="C308" s="18" t="s">
        <v>49</v>
      </c>
      <c r="D308" s="52" t="s">
        <v>310</v>
      </c>
      <c r="E308" s="53"/>
      <c r="F308" s="53"/>
      <c r="G308" s="53"/>
      <c r="H308" s="53"/>
      <c r="I308" s="54"/>
    </row>
    <row r="309" spans="2:9" ht="19.899999999999999" customHeight="1" x14ac:dyDescent="0.25">
      <c r="B309" s="23"/>
      <c r="C309" s="2" t="s">
        <v>300</v>
      </c>
      <c r="D309" s="45" t="s">
        <v>301</v>
      </c>
      <c r="E309" s="46"/>
      <c r="F309" s="46"/>
      <c r="G309" s="46"/>
      <c r="H309" s="46"/>
      <c r="I309" s="47"/>
    </row>
    <row r="310" spans="2:9" ht="19.899999999999999" customHeight="1" x14ac:dyDescent="0.25">
      <c r="B310" s="23"/>
      <c r="C310" s="2" t="s">
        <v>311</v>
      </c>
      <c r="D310" s="45" t="s">
        <v>312</v>
      </c>
      <c r="E310" s="46"/>
      <c r="F310" s="46"/>
      <c r="G310" s="46"/>
      <c r="H310" s="46"/>
      <c r="I310" s="47"/>
    </row>
    <row r="311" spans="2:9" ht="19.899999999999999" customHeight="1" x14ac:dyDescent="0.25">
      <c r="B311" s="23"/>
      <c r="C311" s="2" t="s">
        <v>298</v>
      </c>
      <c r="D311" s="45" t="s">
        <v>299</v>
      </c>
      <c r="E311" s="46"/>
      <c r="F311" s="46"/>
      <c r="G311" s="46"/>
      <c r="H311" s="46"/>
      <c r="I311" s="47"/>
    </row>
    <row r="312" spans="2:9" x14ac:dyDescent="0.25">
      <c r="B312" s="23"/>
      <c r="I312" s="26"/>
    </row>
    <row r="313" spans="2:9" x14ac:dyDescent="0.25">
      <c r="B313" s="23"/>
      <c r="C313" s="51" t="s">
        <v>55</v>
      </c>
      <c r="D313" s="46"/>
      <c r="E313" s="46"/>
      <c r="F313" s="46"/>
      <c r="G313" s="46"/>
      <c r="H313" s="46"/>
      <c r="I313" s="47"/>
    </row>
    <row r="314" spans="2:9" x14ac:dyDescent="0.25">
      <c r="B314" s="23"/>
      <c r="I314" s="26"/>
    </row>
    <row r="315" spans="2:9" ht="77.849999999999994" customHeight="1" x14ac:dyDescent="0.25">
      <c r="B315" s="24" t="s">
        <v>313</v>
      </c>
      <c r="C315" s="19" t="s">
        <v>213</v>
      </c>
      <c r="D315" s="52" t="s">
        <v>314</v>
      </c>
      <c r="E315" s="53"/>
      <c r="F315" s="53"/>
      <c r="G315" s="53"/>
      <c r="H315" s="53"/>
      <c r="I315" s="54"/>
    </row>
    <row r="316" spans="2:9" x14ac:dyDescent="0.25">
      <c r="B316" s="23"/>
      <c r="I316" s="26"/>
    </row>
    <row r="317" spans="2:9" x14ac:dyDescent="0.25">
      <c r="B317" s="23"/>
      <c r="C317" s="55" t="s">
        <v>60</v>
      </c>
      <c r="D317" s="46"/>
      <c r="E317" s="46"/>
      <c r="F317" s="46"/>
      <c r="G317" s="46"/>
      <c r="H317" s="46"/>
      <c r="I317" s="47"/>
    </row>
    <row r="318" spans="2:9" x14ac:dyDescent="0.25">
      <c r="B318" s="23"/>
      <c r="I318" s="26"/>
    </row>
    <row r="319" spans="2:9" ht="19.899999999999999" customHeight="1" x14ac:dyDescent="0.25">
      <c r="B319" s="24" t="s">
        <v>315</v>
      </c>
      <c r="C319" s="18" t="s">
        <v>49</v>
      </c>
      <c r="D319" s="52" t="s">
        <v>316</v>
      </c>
      <c r="E319" s="53"/>
      <c r="F319" s="53"/>
      <c r="G319" s="53"/>
      <c r="H319" s="53"/>
      <c r="I319" s="54"/>
    </row>
    <row r="320" spans="2:9" ht="19.899999999999999" customHeight="1" x14ac:dyDescent="0.25">
      <c r="B320" s="23"/>
      <c r="C320" s="2" t="s">
        <v>317</v>
      </c>
      <c r="D320" s="45" t="s">
        <v>318</v>
      </c>
      <c r="E320" s="46"/>
      <c r="F320" s="46"/>
      <c r="G320" s="46"/>
      <c r="H320" s="46"/>
      <c r="I320" s="47"/>
    </row>
    <row r="321" spans="2:9" ht="19.899999999999999" customHeight="1" x14ac:dyDescent="0.25">
      <c r="B321" s="23"/>
      <c r="C321" s="2" t="s">
        <v>319</v>
      </c>
      <c r="D321" s="45" t="s">
        <v>320</v>
      </c>
      <c r="E321" s="46"/>
      <c r="F321" s="46"/>
      <c r="G321" s="46"/>
      <c r="H321" s="46"/>
      <c r="I321" s="47"/>
    </row>
    <row r="322" spans="2:9" ht="19.899999999999999" customHeight="1" x14ac:dyDescent="0.25">
      <c r="B322" s="23"/>
      <c r="C322" s="2" t="s">
        <v>321</v>
      </c>
      <c r="D322" s="45" t="s">
        <v>322</v>
      </c>
      <c r="E322" s="46"/>
      <c r="F322" s="46"/>
      <c r="G322" s="46"/>
      <c r="H322" s="46"/>
      <c r="I322" s="47"/>
    </row>
    <row r="323" spans="2:9" ht="19.899999999999999" customHeight="1" x14ac:dyDescent="0.25">
      <c r="B323" s="23"/>
      <c r="C323" s="2" t="s">
        <v>323</v>
      </c>
      <c r="D323" s="45" t="s">
        <v>324</v>
      </c>
      <c r="E323" s="46"/>
      <c r="F323" s="46"/>
      <c r="G323" s="46"/>
      <c r="H323" s="46"/>
      <c r="I323" s="47"/>
    </row>
    <row r="324" spans="2:9" ht="19.899999999999999" customHeight="1" x14ac:dyDescent="0.25">
      <c r="B324" s="23"/>
      <c r="C324" s="2" t="s">
        <v>325</v>
      </c>
      <c r="D324" s="45" t="s">
        <v>326</v>
      </c>
      <c r="E324" s="46"/>
      <c r="F324" s="46"/>
      <c r="G324" s="46"/>
      <c r="H324" s="46"/>
      <c r="I324" s="47"/>
    </row>
    <row r="325" spans="2:9" ht="19.899999999999999" customHeight="1" x14ac:dyDescent="0.25">
      <c r="B325" s="23"/>
      <c r="C325" s="2" t="s">
        <v>327</v>
      </c>
      <c r="D325" s="45" t="s">
        <v>328</v>
      </c>
      <c r="E325" s="46"/>
      <c r="F325" s="46"/>
      <c r="G325" s="46"/>
      <c r="H325" s="46"/>
      <c r="I325" s="47"/>
    </row>
    <row r="326" spans="2:9" ht="19.899999999999999" customHeight="1" x14ac:dyDescent="0.25">
      <c r="B326" s="23"/>
      <c r="C326" s="2" t="s">
        <v>329</v>
      </c>
      <c r="D326" s="45" t="s">
        <v>330</v>
      </c>
      <c r="E326" s="46"/>
      <c r="F326" s="46"/>
      <c r="G326" s="46"/>
      <c r="H326" s="46"/>
      <c r="I326" s="47"/>
    </row>
    <row r="327" spans="2:9" ht="19.899999999999999" customHeight="1" x14ac:dyDescent="0.25">
      <c r="B327" s="23"/>
      <c r="C327" s="2" t="s">
        <v>331</v>
      </c>
      <c r="D327" s="45" t="s">
        <v>332</v>
      </c>
      <c r="E327" s="46"/>
      <c r="F327" s="46"/>
      <c r="G327" s="46"/>
      <c r="H327" s="46"/>
      <c r="I327" s="47"/>
    </row>
    <row r="328" spans="2:9" ht="19.899999999999999" customHeight="1" x14ac:dyDescent="0.25">
      <c r="B328" s="23"/>
      <c r="C328" s="2" t="s">
        <v>333</v>
      </c>
      <c r="D328" s="45" t="s">
        <v>334</v>
      </c>
      <c r="E328" s="46"/>
      <c r="F328" s="46"/>
      <c r="G328" s="46"/>
      <c r="H328" s="46"/>
      <c r="I328" s="47"/>
    </row>
    <row r="329" spans="2:9" ht="19.899999999999999" customHeight="1" x14ac:dyDescent="0.25">
      <c r="B329" s="23"/>
      <c r="C329" s="2" t="s">
        <v>335</v>
      </c>
      <c r="D329" s="45" t="s">
        <v>336</v>
      </c>
      <c r="E329" s="46"/>
      <c r="F329" s="46"/>
      <c r="G329" s="46"/>
      <c r="H329" s="46"/>
      <c r="I329" s="47"/>
    </row>
    <row r="330" spans="2:9" ht="19.899999999999999" customHeight="1" x14ac:dyDescent="0.25">
      <c r="B330" s="23"/>
      <c r="C330" s="2" t="s">
        <v>337</v>
      </c>
      <c r="D330" s="45" t="s">
        <v>338</v>
      </c>
      <c r="E330" s="46"/>
      <c r="F330" s="46"/>
      <c r="G330" s="46"/>
      <c r="H330" s="46"/>
      <c r="I330" s="47"/>
    </row>
    <row r="331" spans="2:9" ht="19.899999999999999" customHeight="1" x14ac:dyDescent="0.25">
      <c r="B331" s="23"/>
      <c r="C331" s="2" t="s">
        <v>339</v>
      </c>
      <c r="D331" s="45" t="s">
        <v>340</v>
      </c>
      <c r="E331" s="46"/>
      <c r="F331" s="46"/>
      <c r="G331" s="46"/>
      <c r="H331" s="46"/>
      <c r="I331" s="47"/>
    </row>
    <row r="332" spans="2:9" ht="19.899999999999999" customHeight="1" x14ac:dyDescent="0.25">
      <c r="B332" s="23"/>
      <c r="C332" s="2" t="s">
        <v>341</v>
      </c>
      <c r="D332" s="45" t="s">
        <v>342</v>
      </c>
      <c r="E332" s="46"/>
      <c r="F332" s="46"/>
      <c r="G332" s="46"/>
      <c r="H332" s="46"/>
      <c r="I332" s="47"/>
    </row>
    <row r="333" spans="2:9" ht="19.899999999999999" customHeight="1" x14ac:dyDescent="0.25">
      <c r="B333" s="23"/>
      <c r="C333" s="2" t="s">
        <v>343</v>
      </c>
      <c r="D333" s="45" t="s">
        <v>344</v>
      </c>
      <c r="E333" s="46"/>
      <c r="F333" s="46"/>
      <c r="G333" s="46"/>
      <c r="H333" s="46"/>
      <c r="I333" s="47"/>
    </row>
    <row r="334" spans="2:9" ht="19.899999999999999" customHeight="1" x14ac:dyDescent="0.25">
      <c r="B334" s="23"/>
      <c r="C334" s="2" t="s">
        <v>345</v>
      </c>
      <c r="D334" s="45" t="s">
        <v>346</v>
      </c>
      <c r="E334" s="46"/>
      <c r="F334" s="46"/>
      <c r="G334" s="46"/>
      <c r="H334" s="46"/>
      <c r="I334" s="47"/>
    </row>
    <row r="335" spans="2:9" ht="19.899999999999999" customHeight="1" x14ac:dyDescent="0.25">
      <c r="B335" s="23"/>
      <c r="C335" s="2" t="s">
        <v>347</v>
      </c>
      <c r="D335" s="45" t="s">
        <v>348</v>
      </c>
      <c r="E335" s="46"/>
      <c r="F335" s="46"/>
      <c r="G335" s="46"/>
      <c r="H335" s="46"/>
      <c r="I335" s="47"/>
    </row>
    <row r="336" spans="2:9" ht="19.899999999999999" customHeight="1" x14ac:dyDescent="0.25">
      <c r="B336" s="23"/>
      <c r="C336" s="2" t="s">
        <v>349</v>
      </c>
      <c r="D336" s="45" t="s">
        <v>350</v>
      </c>
      <c r="E336" s="46"/>
      <c r="F336" s="46"/>
      <c r="G336" s="46"/>
      <c r="H336" s="46"/>
      <c r="I336" s="47"/>
    </row>
    <row r="337" spans="2:9" ht="19.899999999999999" customHeight="1" x14ac:dyDescent="0.25">
      <c r="B337" s="23"/>
      <c r="C337" s="2" t="s">
        <v>351</v>
      </c>
      <c r="D337" s="45" t="s">
        <v>352</v>
      </c>
      <c r="E337" s="46"/>
      <c r="F337" s="46"/>
      <c r="G337" s="46"/>
      <c r="H337" s="46"/>
      <c r="I337" s="47"/>
    </row>
    <row r="338" spans="2:9" ht="19.899999999999999" customHeight="1" x14ac:dyDescent="0.25">
      <c r="B338" s="23"/>
      <c r="C338" s="2" t="s">
        <v>353</v>
      </c>
      <c r="D338" s="45" t="s">
        <v>354</v>
      </c>
      <c r="E338" s="46"/>
      <c r="F338" s="46"/>
      <c r="G338" s="46"/>
      <c r="H338" s="46"/>
      <c r="I338" s="47"/>
    </row>
    <row r="339" spans="2:9" ht="19.899999999999999" customHeight="1" x14ac:dyDescent="0.25">
      <c r="B339" s="23"/>
      <c r="C339" s="2" t="s">
        <v>355</v>
      </c>
      <c r="D339" s="45" t="s">
        <v>356</v>
      </c>
      <c r="E339" s="46"/>
      <c r="F339" s="46"/>
      <c r="G339" s="46"/>
      <c r="H339" s="46"/>
      <c r="I339" s="47"/>
    </row>
    <row r="340" spans="2:9" ht="19.899999999999999" customHeight="1" x14ac:dyDescent="0.25">
      <c r="B340" s="23"/>
      <c r="C340" s="2" t="s">
        <v>357</v>
      </c>
      <c r="D340" s="45" t="s">
        <v>358</v>
      </c>
      <c r="E340" s="46"/>
      <c r="F340" s="46"/>
      <c r="G340" s="46"/>
      <c r="H340" s="46"/>
      <c r="I340" s="47"/>
    </row>
    <row r="341" spans="2:9" ht="19.899999999999999" customHeight="1" x14ac:dyDescent="0.25">
      <c r="B341" s="23"/>
      <c r="C341" s="2" t="s">
        <v>359</v>
      </c>
      <c r="D341" s="45" t="s">
        <v>360</v>
      </c>
      <c r="E341" s="46"/>
      <c r="F341" s="46"/>
      <c r="G341" s="46"/>
      <c r="H341" s="46"/>
      <c r="I341" s="47"/>
    </row>
    <row r="342" spans="2:9" ht="19.899999999999999" customHeight="1" x14ac:dyDescent="0.25">
      <c r="B342" s="23"/>
      <c r="C342" s="2" t="s">
        <v>361</v>
      </c>
      <c r="D342" s="45" t="s">
        <v>362</v>
      </c>
      <c r="E342" s="46"/>
      <c r="F342" s="46"/>
      <c r="G342" s="46"/>
      <c r="H342" s="46"/>
      <c r="I342" s="47"/>
    </row>
    <row r="343" spans="2:9" ht="19.899999999999999" customHeight="1" x14ac:dyDescent="0.25">
      <c r="B343" s="23"/>
      <c r="C343" s="2" t="s">
        <v>363</v>
      </c>
      <c r="D343" s="45" t="s">
        <v>364</v>
      </c>
      <c r="E343" s="46"/>
      <c r="F343" s="46"/>
      <c r="G343" s="46"/>
      <c r="H343" s="46"/>
      <c r="I343" s="47"/>
    </row>
    <row r="344" spans="2:9" ht="19.899999999999999" customHeight="1" x14ac:dyDescent="0.25">
      <c r="B344" s="23"/>
      <c r="C344" s="2" t="s">
        <v>365</v>
      </c>
      <c r="D344" s="45" t="s">
        <v>366</v>
      </c>
      <c r="E344" s="46"/>
      <c r="F344" s="46"/>
      <c r="G344" s="46"/>
      <c r="H344" s="46"/>
      <c r="I344" s="47"/>
    </row>
    <row r="345" spans="2:9" ht="19.899999999999999" customHeight="1" x14ac:dyDescent="0.25">
      <c r="B345" s="23"/>
      <c r="C345" s="2" t="s">
        <v>367</v>
      </c>
      <c r="D345" s="45" t="s">
        <v>368</v>
      </c>
      <c r="E345" s="46"/>
      <c r="F345" s="46"/>
      <c r="G345" s="46"/>
      <c r="H345" s="46"/>
      <c r="I345" s="47"/>
    </row>
    <row r="346" spans="2:9" ht="19.899999999999999" customHeight="1" x14ac:dyDescent="0.25">
      <c r="B346" s="23"/>
      <c r="C346" s="2" t="s">
        <v>369</v>
      </c>
      <c r="D346" s="45" t="s">
        <v>370</v>
      </c>
      <c r="E346" s="46"/>
      <c r="F346" s="46"/>
      <c r="G346" s="46"/>
      <c r="H346" s="46"/>
      <c r="I346" s="47"/>
    </row>
    <row r="347" spans="2:9" ht="19.899999999999999" customHeight="1" x14ac:dyDescent="0.25">
      <c r="B347" s="23"/>
      <c r="C347" s="2" t="s">
        <v>371</v>
      </c>
      <c r="D347" s="45" t="s">
        <v>372</v>
      </c>
      <c r="E347" s="46"/>
      <c r="F347" s="46"/>
      <c r="G347" s="46"/>
      <c r="H347" s="46"/>
      <c r="I347" s="47"/>
    </row>
    <row r="348" spans="2:9" ht="19.899999999999999" customHeight="1" x14ac:dyDescent="0.25">
      <c r="B348" s="23"/>
      <c r="C348" s="2" t="s">
        <v>373</v>
      </c>
      <c r="D348" s="45" t="s">
        <v>374</v>
      </c>
      <c r="E348" s="46"/>
      <c r="F348" s="46"/>
      <c r="G348" s="46"/>
      <c r="H348" s="46"/>
      <c r="I348" s="47"/>
    </row>
    <row r="349" spans="2:9" ht="19.899999999999999" customHeight="1" x14ac:dyDescent="0.25">
      <c r="B349" s="23"/>
      <c r="C349" s="2" t="s">
        <v>375</v>
      </c>
      <c r="D349" s="45" t="s">
        <v>376</v>
      </c>
      <c r="E349" s="46"/>
      <c r="F349" s="46"/>
      <c r="G349" s="46"/>
      <c r="H349" s="46"/>
      <c r="I349" s="47"/>
    </row>
    <row r="350" spans="2:9" ht="19.899999999999999" customHeight="1" x14ac:dyDescent="0.25">
      <c r="B350" s="23"/>
      <c r="C350" s="2" t="s">
        <v>377</v>
      </c>
      <c r="D350" s="45" t="s">
        <v>378</v>
      </c>
      <c r="E350" s="46"/>
      <c r="F350" s="46"/>
      <c r="G350" s="46"/>
      <c r="H350" s="46"/>
      <c r="I350" s="47"/>
    </row>
    <row r="351" spans="2:9" ht="19.899999999999999" customHeight="1" x14ac:dyDescent="0.25">
      <c r="B351" s="23"/>
      <c r="C351" s="2" t="s">
        <v>379</v>
      </c>
      <c r="D351" s="45" t="s">
        <v>380</v>
      </c>
      <c r="E351" s="46"/>
      <c r="F351" s="46"/>
      <c r="G351" s="46"/>
      <c r="H351" s="46"/>
      <c r="I351" s="47"/>
    </row>
    <row r="352" spans="2:9" ht="19.899999999999999" customHeight="1" x14ac:dyDescent="0.25">
      <c r="B352" s="23"/>
      <c r="C352" s="2" t="s">
        <v>381</v>
      </c>
      <c r="D352" s="45" t="s">
        <v>382</v>
      </c>
      <c r="E352" s="46"/>
      <c r="F352" s="46"/>
      <c r="G352" s="46"/>
      <c r="H352" s="46"/>
      <c r="I352" s="47"/>
    </row>
    <row r="353" spans="2:10" ht="19.899999999999999" customHeight="1" x14ac:dyDescent="0.25">
      <c r="B353" s="23"/>
      <c r="C353" s="2" t="s">
        <v>383</v>
      </c>
      <c r="D353" s="45" t="s">
        <v>384</v>
      </c>
      <c r="E353" s="46"/>
      <c r="F353" s="46"/>
      <c r="G353" s="46"/>
      <c r="H353" s="46"/>
      <c r="I353" s="47"/>
    </row>
    <row r="354" spans="2:10" ht="19.899999999999999" customHeight="1" x14ac:dyDescent="0.25">
      <c r="B354" s="23"/>
      <c r="C354" s="2" t="s">
        <v>385</v>
      </c>
      <c r="D354" s="45" t="s">
        <v>386</v>
      </c>
      <c r="E354" s="46"/>
      <c r="F354" s="46"/>
      <c r="G354" s="46"/>
      <c r="H354" s="46"/>
      <c r="I354" s="47"/>
    </row>
    <row r="355" spans="2:10" ht="19.899999999999999" customHeight="1" x14ac:dyDescent="0.25">
      <c r="B355" s="23"/>
      <c r="C355" s="2" t="s">
        <v>387</v>
      </c>
      <c r="D355" s="45" t="s">
        <v>388</v>
      </c>
      <c r="E355" s="46"/>
      <c r="F355" s="46"/>
      <c r="G355" s="46"/>
      <c r="H355" s="46"/>
      <c r="I355" s="47"/>
    </row>
    <row r="356" spans="2:10" ht="19.899999999999999" customHeight="1" x14ac:dyDescent="0.25">
      <c r="B356" s="23"/>
      <c r="C356" s="2" t="s">
        <v>389</v>
      </c>
      <c r="D356" s="45" t="s">
        <v>390</v>
      </c>
      <c r="E356" s="46"/>
      <c r="F356" s="46"/>
      <c r="G356" s="46"/>
      <c r="H356" s="46"/>
      <c r="I356" s="47"/>
    </row>
    <row r="357" spans="2:10" x14ac:dyDescent="0.25">
      <c r="B357" s="23"/>
      <c r="I357" s="26"/>
    </row>
    <row r="358" spans="2:10" x14ac:dyDescent="0.25">
      <c r="B358" s="23"/>
      <c r="C358" s="55" t="s">
        <v>60</v>
      </c>
      <c r="D358" s="46"/>
      <c r="E358" s="46"/>
      <c r="F358" s="46"/>
      <c r="G358" s="46"/>
      <c r="H358" s="46"/>
      <c r="I358" s="47"/>
    </row>
    <row r="359" spans="2:10" x14ac:dyDescent="0.25">
      <c r="B359" s="23"/>
      <c r="I359" s="26"/>
    </row>
    <row r="360" spans="2:10" ht="135.6" customHeight="1" x14ac:dyDescent="0.25">
      <c r="B360" s="24" t="s">
        <v>391</v>
      </c>
      <c r="C360" s="19" t="str">
        <f>HYPERLINK("#'Json-dokumentation'!A2743", "Element av typen 'Intagningsorsaker'")</f>
        <v>Element av typen 'Intagningsorsaker'</v>
      </c>
      <c r="D360" s="52" t="s">
        <v>392</v>
      </c>
      <c r="E360" s="53"/>
      <c r="F360" s="53"/>
      <c r="G360" s="53"/>
      <c r="H360" s="53"/>
      <c r="I360" s="54"/>
    </row>
    <row r="361" spans="2:10" x14ac:dyDescent="0.25">
      <c r="B361" s="23"/>
      <c r="C361" s="55" t="s">
        <v>60</v>
      </c>
      <c r="D361" s="46"/>
      <c r="E361" s="46"/>
      <c r="F361" s="46"/>
      <c r="G361" s="46"/>
      <c r="H361" s="46"/>
      <c r="I361" s="47"/>
    </row>
    <row r="362" spans="2:10" x14ac:dyDescent="0.25">
      <c r="B362" s="23"/>
      <c r="I362" s="26"/>
    </row>
    <row r="363" spans="2:10" ht="19.899999999999999" customHeight="1" x14ac:dyDescent="0.25">
      <c r="B363" s="24" t="s">
        <v>393</v>
      </c>
      <c r="C363" s="19" t="str">
        <f>HYPERLINK("#'Json-dokumentation'!A2858", "Element av typen 'FörsenadUtskrivning'")</f>
        <v>Element av typen 'FörsenadUtskrivning'</v>
      </c>
      <c r="D363" s="52" t="s">
        <v>394</v>
      </c>
      <c r="E363" s="53"/>
      <c r="F363" s="53"/>
      <c r="G363" s="53"/>
      <c r="H363" s="53"/>
      <c r="I363" s="54"/>
      <c r="J363" s="17" t="str">
        <f>HYPERLINK("#'Ändringshistorik'!C171", "Ändringshistorik: [183]")</f>
        <v>Ändringshistorik: [183]</v>
      </c>
    </row>
    <row r="364" spans="2:10" x14ac:dyDescent="0.25">
      <c r="B364" s="23"/>
      <c r="C364" s="55" t="s">
        <v>60</v>
      </c>
      <c r="D364" s="46"/>
      <c r="E364" s="46"/>
      <c r="F364" s="46"/>
      <c r="G364" s="46"/>
      <c r="H364" s="46"/>
      <c r="I364" s="47"/>
    </row>
    <row r="365" spans="2:10" x14ac:dyDescent="0.25">
      <c r="B365" s="25"/>
      <c r="C365" s="21"/>
      <c r="D365" s="21"/>
      <c r="E365" s="21"/>
      <c r="F365" s="21"/>
      <c r="G365" s="21"/>
      <c r="H365" s="21"/>
      <c r="I365" s="27"/>
    </row>
    <row r="367" spans="2:10" x14ac:dyDescent="0.25">
      <c r="B367" s="3" t="s">
        <v>82</v>
      </c>
    </row>
    <row r="368" spans="2:10" ht="19.899999999999999" customHeight="1" x14ac:dyDescent="0.25">
      <c r="B368" s="29" t="s">
        <v>395</v>
      </c>
      <c r="C368" s="42" t="s">
        <v>396</v>
      </c>
      <c r="D368" s="43"/>
      <c r="E368" s="43"/>
      <c r="F368" s="43"/>
      <c r="G368" s="43"/>
      <c r="H368" s="43"/>
      <c r="I368" s="44"/>
    </row>
    <row r="369" spans="2:10" ht="19.899999999999999" customHeight="1" x14ac:dyDescent="0.25">
      <c r="B369" s="30" t="s">
        <v>397</v>
      </c>
      <c r="C369" s="52" t="s">
        <v>398</v>
      </c>
      <c r="D369" s="53"/>
      <c r="E369" s="46"/>
      <c r="F369" s="46"/>
      <c r="G369" s="46"/>
      <c r="H369" s="46"/>
      <c r="I369" s="47"/>
    </row>
    <row r="370" spans="2:10" ht="34.35" customHeight="1" x14ac:dyDescent="0.25">
      <c r="B370" s="30" t="s">
        <v>399</v>
      </c>
      <c r="C370" s="52" t="s">
        <v>400</v>
      </c>
      <c r="D370" s="53"/>
      <c r="E370" s="46"/>
      <c r="F370" s="46"/>
      <c r="G370" s="46"/>
      <c r="H370" s="46"/>
      <c r="I370" s="47"/>
      <c r="J370" s="17" t="str">
        <f>HYPERLINK("#'Ändringshistorik'!C239", "Ändringshistorik: [95]")</f>
        <v>Ändringshistorik: [95]</v>
      </c>
    </row>
    <row r="371" spans="2:10" ht="19.899999999999999" customHeight="1" x14ac:dyDescent="0.25">
      <c r="B371" s="30" t="s">
        <v>401</v>
      </c>
      <c r="C371" s="52" t="s">
        <v>402</v>
      </c>
      <c r="D371" s="53"/>
      <c r="E371" s="46"/>
      <c r="F371" s="46"/>
      <c r="G371" s="46"/>
      <c r="H371" s="46"/>
      <c r="I371" s="47"/>
    </row>
    <row r="372" spans="2:10" ht="19.899999999999999" customHeight="1" x14ac:dyDescent="0.25">
      <c r="B372" s="30" t="s">
        <v>403</v>
      </c>
      <c r="C372" s="52" t="s">
        <v>404</v>
      </c>
      <c r="D372" s="53"/>
      <c r="E372" s="46"/>
      <c r="F372" s="46"/>
      <c r="G372" s="46"/>
      <c r="H372" s="46"/>
      <c r="I372" s="47"/>
    </row>
    <row r="373" spans="2:10" ht="63.4" customHeight="1" x14ac:dyDescent="0.25">
      <c r="B373" s="30" t="s">
        <v>405</v>
      </c>
      <c r="C373" s="52" t="s">
        <v>406</v>
      </c>
      <c r="D373" s="53"/>
      <c r="E373" s="46"/>
      <c r="F373" s="46"/>
      <c r="G373" s="46"/>
      <c r="H373" s="46"/>
      <c r="I373" s="47"/>
    </row>
    <row r="374" spans="2:10" ht="19.899999999999999" customHeight="1" x14ac:dyDescent="0.25">
      <c r="B374" s="30" t="s">
        <v>407</v>
      </c>
      <c r="C374" s="52" t="s">
        <v>408</v>
      </c>
      <c r="D374" s="53"/>
      <c r="E374" s="46"/>
      <c r="F374" s="46"/>
      <c r="G374" s="46"/>
      <c r="H374" s="46"/>
      <c r="I374" s="47"/>
    </row>
    <row r="375" spans="2:10" ht="19.899999999999999" customHeight="1" x14ac:dyDescent="0.25">
      <c r="B375" s="30" t="s">
        <v>409</v>
      </c>
      <c r="C375" s="52" t="s">
        <v>410</v>
      </c>
      <c r="D375" s="53"/>
      <c r="E375" s="46"/>
      <c r="F375" s="46"/>
      <c r="G375" s="46"/>
      <c r="H375" s="46"/>
      <c r="I375" s="47"/>
    </row>
    <row r="376" spans="2:10" ht="34.35" customHeight="1" x14ac:dyDescent="0.25">
      <c r="B376" s="30" t="s">
        <v>411</v>
      </c>
      <c r="C376" s="52" t="s">
        <v>412</v>
      </c>
      <c r="D376" s="53"/>
      <c r="E376" s="46"/>
      <c r="F376" s="46"/>
      <c r="G376" s="46"/>
      <c r="H376" s="46"/>
      <c r="I376" s="47"/>
    </row>
    <row r="377" spans="2:10" ht="34.35" customHeight="1" x14ac:dyDescent="0.25">
      <c r="B377" s="30" t="s">
        <v>413</v>
      </c>
      <c r="C377" s="52" t="s">
        <v>414</v>
      </c>
      <c r="D377" s="53"/>
      <c r="E377" s="46"/>
      <c r="F377" s="46"/>
      <c r="G377" s="46"/>
      <c r="H377" s="46"/>
      <c r="I377" s="47"/>
      <c r="J377" s="17" t="str">
        <f>HYPERLINK("#'Ändringshistorik'!C240", "Ändringshistorik: [96]")</f>
        <v>Ändringshistorik: [96]</v>
      </c>
    </row>
    <row r="378" spans="2:10" ht="19.899999999999999" customHeight="1" x14ac:dyDescent="0.25">
      <c r="B378" s="30" t="s">
        <v>415</v>
      </c>
      <c r="C378" s="52" t="s">
        <v>416</v>
      </c>
      <c r="D378" s="53"/>
      <c r="E378" s="46"/>
      <c r="F378" s="46"/>
      <c r="G378" s="46"/>
      <c r="H378" s="46"/>
      <c r="I378" s="47"/>
    </row>
    <row r="379" spans="2:10" ht="19.899999999999999" customHeight="1" x14ac:dyDescent="0.25">
      <c r="B379" s="30" t="s">
        <v>417</v>
      </c>
      <c r="C379" s="52" t="s">
        <v>418</v>
      </c>
      <c r="D379" s="53"/>
      <c r="E379" s="46"/>
      <c r="F379" s="46"/>
      <c r="G379" s="46"/>
      <c r="H379" s="46"/>
      <c r="I379" s="47"/>
      <c r="J379" s="17" t="str">
        <f>HYPERLINK("#'Ändringshistorik'!C129", "Ändringshistorik: [213]")</f>
        <v>Ändringshistorik: [213]</v>
      </c>
    </row>
    <row r="380" spans="2:10" ht="19.899999999999999" customHeight="1" x14ac:dyDescent="0.25">
      <c r="B380" s="30" t="s">
        <v>419</v>
      </c>
      <c r="C380" s="52" t="s">
        <v>420</v>
      </c>
      <c r="D380" s="53"/>
      <c r="E380" s="46"/>
      <c r="F380" s="46"/>
      <c r="G380" s="46"/>
      <c r="H380" s="46"/>
      <c r="I380" s="47"/>
    </row>
    <row r="381" spans="2:10" ht="34.35" customHeight="1" x14ac:dyDescent="0.25">
      <c r="B381" s="30" t="s">
        <v>421</v>
      </c>
      <c r="C381" s="52" t="s">
        <v>422</v>
      </c>
      <c r="D381" s="53"/>
      <c r="E381" s="46"/>
      <c r="F381" s="46"/>
      <c r="G381" s="46"/>
      <c r="H381" s="46"/>
      <c r="I381" s="47"/>
      <c r="J381" s="17" t="str">
        <f>HYPERLINK("#'Ändringshistorik'!C241", "Ändringshistorik: [97]")</f>
        <v>Ändringshistorik: [97]</v>
      </c>
    </row>
    <row r="382" spans="2:10" ht="34.35" customHeight="1" x14ac:dyDescent="0.25">
      <c r="B382" s="30" t="s">
        <v>423</v>
      </c>
      <c r="C382" s="52" t="s">
        <v>424</v>
      </c>
      <c r="D382" s="53"/>
      <c r="E382" s="46"/>
      <c r="F382" s="46"/>
      <c r="G382" s="46"/>
      <c r="H382" s="46"/>
      <c r="I382" s="47"/>
      <c r="J382" s="17" t="str">
        <f>HYPERLINK("#'Ändringshistorik'!C242", "Ändringshistorik: [98]")</f>
        <v>Ändringshistorik: [98]</v>
      </c>
    </row>
    <row r="383" spans="2:10" ht="19.899999999999999" customHeight="1" x14ac:dyDescent="0.25">
      <c r="B383" s="30" t="s">
        <v>425</v>
      </c>
      <c r="C383" s="52" t="s">
        <v>426</v>
      </c>
      <c r="D383" s="53"/>
      <c r="E383" s="46"/>
      <c r="F383" s="46"/>
      <c r="G383" s="46"/>
      <c r="H383" s="46"/>
      <c r="I383" s="47"/>
    </row>
    <row r="384" spans="2:10" ht="34.35" customHeight="1" x14ac:dyDescent="0.25">
      <c r="B384" s="30" t="s">
        <v>427</v>
      </c>
      <c r="C384" s="52" t="s">
        <v>428</v>
      </c>
      <c r="D384" s="53"/>
      <c r="E384" s="46"/>
      <c r="F384" s="46"/>
      <c r="G384" s="46"/>
      <c r="H384" s="46"/>
      <c r="I384" s="47"/>
      <c r="J384" s="17" t="str">
        <f>HYPERLINK("#'Ändringshistorik'!C243", "Ändringshistorik: [99]")</f>
        <v>Ändringshistorik: [99]</v>
      </c>
    </row>
    <row r="385" spans="1:10" ht="19.899999999999999" customHeight="1" x14ac:dyDescent="0.25">
      <c r="B385" s="30" t="s">
        <v>429</v>
      </c>
      <c r="C385" s="52" t="s">
        <v>430</v>
      </c>
      <c r="D385" s="53"/>
      <c r="E385" s="46"/>
      <c r="F385" s="46"/>
      <c r="G385" s="46"/>
      <c r="H385" s="46"/>
      <c r="I385" s="47"/>
    </row>
    <row r="386" spans="1:10" ht="34.35" customHeight="1" x14ac:dyDescent="0.25">
      <c r="B386" s="30" t="s">
        <v>431</v>
      </c>
      <c r="C386" s="52" t="s">
        <v>432</v>
      </c>
      <c r="D386" s="53"/>
      <c r="E386" s="46"/>
      <c r="F386" s="46"/>
      <c r="G386" s="46"/>
      <c r="H386" s="46"/>
      <c r="I386" s="47"/>
    </row>
    <row r="387" spans="1:10" ht="34.35" customHeight="1" x14ac:dyDescent="0.25">
      <c r="B387" s="30" t="s">
        <v>433</v>
      </c>
      <c r="C387" s="52" t="s">
        <v>434</v>
      </c>
      <c r="D387" s="53"/>
      <c r="E387" s="46"/>
      <c r="F387" s="46"/>
      <c r="G387" s="46"/>
      <c r="H387" s="46"/>
      <c r="I387" s="47"/>
      <c r="J387" s="17" t="str">
        <f>HYPERLINK("#'Ändringshistorik'!C244", "Ändringshistorik: [100]")</f>
        <v>Ändringshistorik: [100]</v>
      </c>
    </row>
    <row r="388" spans="1:10" ht="19.899999999999999" customHeight="1" x14ac:dyDescent="0.25">
      <c r="B388" s="30" t="s">
        <v>435</v>
      </c>
      <c r="C388" s="52" t="s">
        <v>436</v>
      </c>
      <c r="D388" s="53"/>
      <c r="E388" s="46"/>
      <c r="F388" s="46"/>
      <c r="G388" s="46"/>
      <c r="H388" s="46"/>
      <c r="I388" s="47"/>
    </row>
    <row r="389" spans="1:10" ht="19.899999999999999" customHeight="1" x14ac:dyDescent="0.25">
      <c r="B389" s="30" t="s">
        <v>437</v>
      </c>
      <c r="C389" s="52" t="s">
        <v>438</v>
      </c>
      <c r="D389" s="53"/>
      <c r="E389" s="46"/>
      <c r="F389" s="46"/>
      <c r="G389" s="46"/>
      <c r="H389" s="46"/>
      <c r="I389" s="47"/>
    </row>
    <row r="390" spans="1:10" ht="19.899999999999999" customHeight="1" x14ac:dyDescent="0.25">
      <c r="B390" s="30" t="s">
        <v>439</v>
      </c>
      <c r="C390" s="52" t="s">
        <v>440</v>
      </c>
      <c r="D390" s="53"/>
      <c r="E390" s="46"/>
      <c r="F390" s="46"/>
      <c r="G390" s="46"/>
      <c r="H390" s="46"/>
      <c r="I390" s="47"/>
    </row>
    <row r="391" spans="1:10" ht="19.899999999999999" customHeight="1" x14ac:dyDescent="0.25">
      <c r="B391" s="30" t="s">
        <v>441</v>
      </c>
      <c r="C391" s="52" t="s">
        <v>442</v>
      </c>
      <c r="D391" s="53"/>
      <c r="E391" s="46"/>
      <c r="F391" s="46"/>
      <c r="G391" s="46"/>
      <c r="H391" s="46"/>
      <c r="I391" s="47"/>
    </row>
    <row r="392" spans="1:10" ht="19.899999999999999" customHeight="1" x14ac:dyDescent="0.25">
      <c r="B392" s="30" t="s">
        <v>443</v>
      </c>
      <c r="C392" s="52" t="s">
        <v>444</v>
      </c>
      <c r="D392" s="53"/>
      <c r="E392" s="46"/>
      <c r="F392" s="46"/>
      <c r="G392" s="46"/>
      <c r="H392" s="46"/>
      <c r="I392" s="47"/>
    </row>
    <row r="393" spans="1:10" ht="19.899999999999999" customHeight="1" x14ac:dyDescent="0.25">
      <c r="B393" s="30" t="s">
        <v>445</v>
      </c>
      <c r="C393" s="52" t="s">
        <v>446</v>
      </c>
      <c r="D393" s="53"/>
      <c r="E393" s="46"/>
      <c r="F393" s="46"/>
      <c r="G393" s="46"/>
      <c r="H393" s="46"/>
      <c r="I393" s="47"/>
    </row>
    <row r="394" spans="1:10" ht="19.899999999999999" customHeight="1" x14ac:dyDescent="0.25">
      <c r="B394" s="31" t="s">
        <v>447</v>
      </c>
      <c r="C394" s="59" t="s">
        <v>448</v>
      </c>
      <c r="D394" s="60"/>
      <c r="E394" s="49"/>
      <c r="F394" s="49"/>
      <c r="G394" s="49"/>
      <c r="H394" s="49"/>
      <c r="I394" s="50"/>
    </row>
    <row r="398" spans="1:10" ht="34.35" customHeight="1" x14ac:dyDescent="0.25">
      <c r="A398" s="45" t="s">
        <v>6</v>
      </c>
      <c r="B398" s="46"/>
      <c r="C398" s="46"/>
      <c r="D398" s="46"/>
      <c r="E398" s="46"/>
      <c r="F398" s="46"/>
      <c r="G398" s="46"/>
      <c r="H398" s="46"/>
      <c r="I398" s="46"/>
    </row>
    <row r="399" spans="1:10" ht="18.75" x14ac:dyDescent="0.25">
      <c r="A399" s="16" t="s">
        <v>449</v>
      </c>
      <c r="B399" s="3" t="s">
        <v>47</v>
      </c>
    </row>
    <row r="400" spans="1:10" ht="34.35" customHeight="1" x14ac:dyDescent="0.25">
      <c r="B400" s="22" t="s">
        <v>450</v>
      </c>
      <c r="C400" s="32" t="s">
        <v>213</v>
      </c>
      <c r="D400" s="42" t="s">
        <v>451</v>
      </c>
      <c r="E400" s="43"/>
      <c r="F400" s="43"/>
      <c r="G400" s="43"/>
      <c r="H400" s="43"/>
      <c r="I400" s="44"/>
    </row>
    <row r="401" spans="2:10" x14ac:dyDescent="0.25">
      <c r="B401" s="23"/>
      <c r="I401" s="26"/>
    </row>
    <row r="402" spans="2:10" x14ac:dyDescent="0.25">
      <c r="B402" s="23"/>
      <c r="C402" s="51" t="s">
        <v>55</v>
      </c>
      <c r="D402" s="46"/>
      <c r="E402" s="46"/>
      <c r="F402" s="46"/>
      <c r="G402" s="46"/>
      <c r="H402" s="46"/>
      <c r="I402" s="47"/>
    </row>
    <row r="403" spans="2:10" x14ac:dyDescent="0.25">
      <c r="B403" s="23"/>
      <c r="I403" s="26"/>
    </row>
    <row r="404" spans="2:10" ht="63.4" customHeight="1" x14ac:dyDescent="0.25">
      <c r="B404" s="24" t="s">
        <v>452</v>
      </c>
      <c r="C404" s="19" t="s">
        <v>453</v>
      </c>
      <c r="D404" s="52" t="s">
        <v>454</v>
      </c>
      <c r="E404" s="53"/>
      <c r="F404" s="53"/>
      <c r="G404" s="53"/>
      <c r="H404" s="53"/>
      <c r="I404" s="54"/>
    </row>
    <row r="405" spans="2:10" x14ac:dyDescent="0.25">
      <c r="B405" s="23"/>
      <c r="C405" s="2" t="s">
        <v>455</v>
      </c>
      <c r="I405" s="26"/>
    </row>
    <row r="406" spans="2:10" x14ac:dyDescent="0.25">
      <c r="B406" s="23"/>
      <c r="I406" s="26"/>
    </row>
    <row r="407" spans="2:10" x14ac:dyDescent="0.25">
      <c r="B407" s="23"/>
      <c r="C407" s="55" t="s">
        <v>60</v>
      </c>
      <c r="D407" s="46"/>
      <c r="E407" s="46"/>
      <c r="F407" s="46"/>
      <c r="G407" s="46"/>
      <c r="H407" s="46"/>
      <c r="I407" s="47"/>
    </row>
    <row r="408" spans="2:10" x14ac:dyDescent="0.25">
      <c r="B408" s="23"/>
      <c r="I408" s="26"/>
    </row>
    <row r="409" spans="2:10" x14ac:dyDescent="0.25">
      <c r="B409" s="23"/>
      <c r="C409" s="51" t="s">
        <v>55</v>
      </c>
      <c r="D409" s="46"/>
      <c r="E409" s="46"/>
      <c r="F409" s="46"/>
      <c r="G409" s="46"/>
      <c r="H409" s="46"/>
      <c r="I409" s="47"/>
    </row>
    <row r="410" spans="2:10" x14ac:dyDescent="0.25">
      <c r="B410" s="25"/>
      <c r="C410" s="21"/>
      <c r="D410" s="21"/>
      <c r="E410" s="21"/>
      <c r="F410" s="21"/>
      <c r="G410" s="21"/>
      <c r="H410" s="21"/>
      <c r="I410" s="27"/>
    </row>
    <row r="412" spans="2:10" x14ac:dyDescent="0.25">
      <c r="B412" s="3" t="s">
        <v>82</v>
      </c>
    </row>
    <row r="413" spans="2:10" ht="19.899999999999999" customHeight="1" x14ac:dyDescent="0.25">
      <c r="B413" s="29" t="s">
        <v>456</v>
      </c>
      <c r="C413" s="42" t="s">
        <v>457</v>
      </c>
      <c r="D413" s="43"/>
      <c r="E413" s="43"/>
      <c r="F413" s="43"/>
      <c r="G413" s="43"/>
      <c r="H413" s="43"/>
      <c r="I413" s="44"/>
    </row>
    <row r="414" spans="2:10" ht="19.899999999999999" customHeight="1" x14ac:dyDescent="0.25">
      <c r="B414" s="30" t="s">
        <v>458</v>
      </c>
      <c r="C414" s="52" t="s">
        <v>459</v>
      </c>
      <c r="D414" s="53"/>
      <c r="E414" s="46"/>
      <c r="F414" s="46"/>
      <c r="G414" s="46"/>
      <c r="H414" s="46"/>
      <c r="I414" s="47"/>
    </row>
    <row r="415" spans="2:10" ht="19.899999999999999" customHeight="1" x14ac:dyDescent="0.25">
      <c r="B415" s="31" t="s">
        <v>460</v>
      </c>
      <c r="C415" s="59" t="s">
        <v>461</v>
      </c>
      <c r="D415" s="60"/>
      <c r="E415" s="49"/>
      <c r="F415" s="49"/>
      <c r="G415" s="49"/>
      <c r="H415" s="49"/>
      <c r="I415" s="50"/>
      <c r="J415" s="17" t="str">
        <f>HYPERLINK("#'Ändringshistorik'!C246", "Ändringshistorik: [102]")</f>
        <v>Ändringshistorik: [102]</v>
      </c>
    </row>
    <row r="419" spans="1:9" ht="121.15" customHeight="1" x14ac:dyDescent="0.25">
      <c r="A419" s="45" t="s">
        <v>7</v>
      </c>
      <c r="B419" s="46"/>
      <c r="C419" s="46"/>
      <c r="D419" s="46"/>
      <c r="E419" s="46"/>
      <c r="F419" s="46"/>
      <c r="G419" s="46"/>
      <c r="H419" s="46"/>
      <c r="I419" s="46"/>
    </row>
    <row r="420" spans="1:9" ht="18.75" x14ac:dyDescent="0.25">
      <c r="A420" s="16" t="s">
        <v>462</v>
      </c>
      <c r="B420" s="3" t="s">
        <v>47</v>
      </c>
    </row>
    <row r="421" spans="1:9" ht="34.35" customHeight="1" x14ac:dyDescent="0.25">
      <c r="B421" s="22" t="s">
        <v>463</v>
      </c>
      <c r="C421" s="32" t="s">
        <v>220</v>
      </c>
      <c r="D421" s="42" t="s">
        <v>464</v>
      </c>
      <c r="E421" s="43"/>
      <c r="F421" s="43"/>
      <c r="G421" s="43"/>
      <c r="H421" s="43"/>
      <c r="I421" s="44"/>
    </row>
    <row r="422" spans="1:9" x14ac:dyDescent="0.25">
      <c r="B422" s="23"/>
      <c r="C422" s="2" t="s">
        <v>222</v>
      </c>
      <c r="I422" s="26"/>
    </row>
    <row r="423" spans="1:9" x14ac:dyDescent="0.25">
      <c r="B423" s="23"/>
      <c r="I423" s="26"/>
    </row>
    <row r="424" spans="1:9" x14ac:dyDescent="0.25">
      <c r="B424" s="23"/>
      <c r="C424" s="51" t="s">
        <v>55</v>
      </c>
      <c r="D424" s="46"/>
      <c r="E424" s="46"/>
      <c r="F424" s="46"/>
      <c r="G424" s="46"/>
      <c r="H424" s="46"/>
      <c r="I424" s="47"/>
    </row>
    <row r="425" spans="1:9" x14ac:dyDescent="0.25">
      <c r="B425" s="23"/>
      <c r="I425" s="26"/>
    </row>
    <row r="426" spans="1:9" ht="63.4" customHeight="1" x14ac:dyDescent="0.25">
      <c r="B426" s="24" t="s">
        <v>465</v>
      </c>
      <c r="C426" s="19" t="s">
        <v>213</v>
      </c>
      <c r="D426" s="52" t="s">
        <v>466</v>
      </c>
      <c r="E426" s="53"/>
      <c r="F426" s="53"/>
      <c r="G426" s="53"/>
      <c r="H426" s="53"/>
      <c r="I426" s="54"/>
    </row>
    <row r="427" spans="1:9" x14ac:dyDescent="0.25">
      <c r="B427" s="23"/>
      <c r="I427" s="26"/>
    </row>
    <row r="428" spans="1:9" x14ac:dyDescent="0.25">
      <c r="B428" s="23"/>
      <c r="C428" s="55" t="s">
        <v>60</v>
      </c>
      <c r="D428" s="46"/>
      <c r="E428" s="46"/>
      <c r="F428" s="46"/>
      <c r="G428" s="46"/>
      <c r="H428" s="46"/>
      <c r="I428" s="47"/>
    </row>
    <row r="429" spans="1:9" x14ac:dyDescent="0.25">
      <c r="B429" s="23"/>
      <c r="I429" s="26"/>
    </row>
    <row r="430" spans="1:9" ht="63.4" customHeight="1" x14ac:dyDescent="0.25">
      <c r="B430" s="24" t="s">
        <v>467</v>
      </c>
      <c r="C430" s="18" t="s">
        <v>468</v>
      </c>
      <c r="D430" s="52" t="s">
        <v>469</v>
      </c>
      <c r="E430" s="53"/>
      <c r="F430" s="53"/>
      <c r="G430" s="53"/>
      <c r="H430" s="53"/>
      <c r="I430" s="54"/>
    </row>
    <row r="431" spans="1:9" ht="19.899999999999999" customHeight="1" x14ac:dyDescent="0.25">
      <c r="B431" s="23"/>
      <c r="C431" s="2" t="s">
        <v>470</v>
      </c>
      <c r="D431" s="45" t="s">
        <v>471</v>
      </c>
      <c r="E431" s="46"/>
      <c r="F431" s="46"/>
      <c r="G431" s="46"/>
      <c r="H431" s="46"/>
      <c r="I431" s="47"/>
    </row>
    <row r="432" spans="1:9" ht="19.899999999999999" customHeight="1" x14ac:dyDescent="0.25">
      <c r="B432" s="23"/>
      <c r="C432" s="2" t="s">
        <v>472</v>
      </c>
      <c r="D432" s="45" t="s">
        <v>473</v>
      </c>
      <c r="E432" s="46"/>
      <c r="F432" s="46"/>
      <c r="G432" s="46"/>
      <c r="H432" s="46"/>
      <c r="I432" s="47"/>
    </row>
    <row r="433" spans="2:9" ht="19.899999999999999" customHeight="1" x14ac:dyDescent="0.25">
      <c r="B433" s="23"/>
      <c r="C433" s="2" t="s">
        <v>474</v>
      </c>
      <c r="D433" s="45" t="s">
        <v>475</v>
      </c>
      <c r="E433" s="46"/>
      <c r="F433" s="46"/>
      <c r="G433" s="46"/>
      <c r="H433" s="46"/>
      <c r="I433" s="47"/>
    </row>
    <row r="434" spans="2:9" ht="19.899999999999999" customHeight="1" x14ac:dyDescent="0.25">
      <c r="B434" s="23"/>
      <c r="C434" s="2" t="s">
        <v>476</v>
      </c>
      <c r="D434" s="45" t="s">
        <v>477</v>
      </c>
      <c r="E434" s="46"/>
      <c r="F434" s="46"/>
      <c r="G434" s="46"/>
      <c r="H434" s="46"/>
      <c r="I434" s="47"/>
    </row>
    <row r="435" spans="2:9" ht="19.899999999999999" customHeight="1" x14ac:dyDescent="0.25">
      <c r="B435" s="23"/>
      <c r="C435" s="2" t="s">
        <v>478</v>
      </c>
      <c r="D435" s="45" t="s">
        <v>479</v>
      </c>
      <c r="E435" s="46"/>
      <c r="F435" s="46"/>
      <c r="G435" s="46"/>
      <c r="H435" s="46"/>
      <c r="I435" s="47"/>
    </row>
    <row r="436" spans="2:9" x14ac:dyDescent="0.25">
      <c r="B436" s="23"/>
      <c r="I436" s="26"/>
    </row>
    <row r="437" spans="2:9" x14ac:dyDescent="0.25">
      <c r="B437" s="23"/>
      <c r="C437" s="51" t="s">
        <v>55</v>
      </c>
      <c r="D437" s="46"/>
      <c r="E437" s="46"/>
      <c r="F437" s="46"/>
      <c r="G437" s="46"/>
      <c r="H437" s="46"/>
      <c r="I437" s="47"/>
    </row>
    <row r="438" spans="2:9" x14ac:dyDescent="0.25">
      <c r="B438" s="23"/>
      <c r="I438" s="26"/>
    </row>
    <row r="439" spans="2:9" ht="63.4" customHeight="1" x14ac:dyDescent="0.25">
      <c r="B439" s="24" t="s">
        <v>480</v>
      </c>
      <c r="C439" s="18" t="s">
        <v>468</v>
      </c>
      <c r="D439" s="52" t="s">
        <v>481</v>
      </c>
      <c r="E439" s="53"/>
      <c r="F439" s="53"/>
      <c r="G439" s="53"/>
      <c r="H439" s="53"/>
      <c r="I439" s="54"/>
    </row>
    <row r="440" spans="2:9" ht="19.899999999999999" customHeight="1" x14ac:dyDescent="0.25">
      <c r="B440" s="23"/>
      <c r="C440" s="2" t="s">
        <v>470</v>
      </c>
      <c r="D440" s="45" t="s">
        <v>471</v>
      </c>
      <c r="E440" s="46"/>
      <c r="F440" s="46"/>
      <c r="G440" s="46"/>
      <c r="H440" s="46"/>
      <c r="I440" s="47"/>
    </row>
    <row r="441" spans="2:9" ht="19.899999999999999" customHeight="1" x14ac:dyDescent="0.25">
      <c r="B441" s="23"/>
      <c r="C441" s="2" t="s">
        <v>472</v>
      </c>
      <c r="D441" s="45" t="s">
        <v>473</v>
      </c>
      <c r="E441" s="46"/>
      <c r="F441" s="46"/>
      <c r="G441" s="46"/>
      <c r="H441" s="46"/>
      <c r="I441" s="47"/>
    </row>
    <row r="442" spans="2:9" ht="19.899999999999999" customHeight="1" x14ac:dyDescent="0.25">
      <c r="B442" s="23"/>
      <c r="C442" s="2" t="s">
        <v>474</v>
      </c>
      <c r="D442" s="45" t="s">
        <v>475</v>
      </c>
      <c r="E442" s="46"/>
      <c r="F442" s="46"/>
      <c r="G442" s="46"/>
      <c r="H442" s="46"/>
      <c r="I442" s="47"/>
    </row>
    <row r="443" spans="2:9" x14ac:dyDescent="0.25">
      <c r="B443" s="23"/>
      <c r="I443" s="26"/>
    </row>
    <row r="444" spans="2:9" x14ac:dyDescent="0.25">
      <c r="B444" s="23"/>
      <c r="C444" s="51" t="s">
        <v>55</v>
      </c>
      <c r="D444" s="46"/>
      <c r="E444" s="46"/>
      <c r="F444" s="46"/>
      <c r="G444" s="46"/>
      <c r="H444" s="46"/>
      <c r="I444" s="47"/>
    </row>
    <row r="445" spans="2:9" x14ac:dyDescent="0.25">
      <c r="B445" s="23"/>
      <c r="I445" s="26"/>
    </row>
    <row r="446" spans="2:9" ht="48.95" customHeight="1" x14ac:dyDescent="0.25">
      <c r="B446" s="24" t="s">
        <v>482</v>
      </c>
      <c r="C446" s="19" t="s">
        <v>220</v>
      </c>
      <c r="D446" s="52" t="s">
        <v>483</v>
      </c>
      <c r="E446" s="53"/>
      <c r="F446" s="53"/>
      <c r="G446" s="53"/>
      <c r="H446" s="53"/>
      <c r="I446" s="54"/>
    </row>
    <row r="447" spans="2:9" x14ac:dyDescent="0.25">
      <c r="B447" s="23"/>
      <c r="C447" s="2" t="s">
        <v>222</v>
      </c>
      <c r="I447" s="26"/>
    </row>
    <row r="448" spans="2:9" x14ac:dyDescent="0.25">
      <c r="B448" s="23"/>
      <c r="I448" s="26"/>
    </row>
    <row r="449" spans="2:9" x14ac:dyDescent="0.25">
      <c r="B449" s="23"/>
      <c r="C449" s="51" t="s">
        <v>55</v>
      </c>
      <c r="D449" s="46"/>
      <c r="E449" s="46"/>
      <c r="F449" s="46"/>
      <c r="G449" s="46"/>
      <c r="H449" s="46"/>
      <c r="I449" s="47"/>
    </row>
    <row r="450" spans="2:9" x14ac:dyDescent="0.25">
      <c r="B450" s="23"/>
      <c r="I450" s="26"/>
    </row>
    <row r="451" spans="2:9" ht="19.899999999999999" customHeight="1" x14ac:dyDescent="0.25">
      <c r="B451" s="24" t="s">
        <v>484</v>
      </c>
      <c r="C451" s="18" t="s">
        <v>485</v>
      </c>
      <c r="D451" s="52" t="s">
        <v>486</v>
      </c>
      <c r="E451" s="53"/>
      <c r="F451" s="53"/>
      <c r="G451" s="53"/>
      <c r="H451" s="53"/>
      <c r="I451" s="54"/>
    </row>
    <row r="452" spans="2:9" ht="19.899999999999999" customHeight="1" x14ac:dyDescent="0.25">
      <c r="B452" s="23"/>
      <c r="C452" s="2" t="s">
        <v>487</v>
      </c>
      <c r="D452" s="45" t="s">
        <v>488</v>
      </c>
      <c r="E452" s="46"/>
      <c r="F452" s="46"/>
      <c r="G452" s="46"/>
      <c r="H452" s="46"/>
      <c r="I452" s="47"/>
    </row>
    <row r="453" spans="2:9" ht="19.899999999999999" customHeight="1" x14ac:dyDescent="0.25">
      <c r="B453" s="23"/>
      <c r="C453" s="2" t="s">
        <v>489</v>
      </c>
      <c r="D453" s="45" t="s">
        <v>490</v>
      </c>
      <c r="E453" s="46"/>
      <c r="F453" s="46"/>
      <c r="G453" s="46"/>
      <c r="H453" s="46"/>
      <c r="I453" s="47"/>
    </row>
    <row r="454" spans="2:9" ht="19.899999999999999" customHeight="1" x14ac:dyDescent="0.25">
      <c r="B454" s="23"/>
      <c r="C454" s="2" t="s">
        <v>491</v>
      </c>
      <c r="D454" s="45" t="s">
        <v>492</v>
      </c>
      <c r="E454" s="46"/>
      <c r="F454" s="46"/>
      <c r="G454" s="46"/>
      <c r="H454" s="46"/>
      <c r="I454" s="47"/>
    </row>
    <row r="455" spans="2:9" ht="19.899999999999999" customHeight="1" x14ac:dyDescent="0.25">
      <c r="B455" s="23"/>
      <c r="C455" s="2" t="s">
        <v>493</v>
      </c>
      <c r="D455" s="45" t="s">
        <v>494</v>
      </c>
      <c r="E455" s="46"/>
      <c r="F455" s="46"/>
      <c r="G455" s="46"/>
      <c r="H455" s="46"/>
      <c r="I455" s="47"/>
    </row>
    <row r="456" spans="2:9" x14ac:dyDescent="0.25">
      <c r="B456" s="23"/>
      <c r="I456" s="26"/>
    </row>
    <row r="457" spans="2:9" x14ac:dyDescent="0.25">
      <c r="B457" s="23"/>
      <c r="C457" s="55" t="s">
        <v>60</v>
      </c>
      <c r="D457" s="46"/>
      <c r="E457" s="46"/>
      <c r="F457" s="46"/>
      <c r="G457" s="46"/>
      <c r="H457" s="46"/>
      <c r="I457" s="47"/>
    </row>
    <row r="458" spans="2:9" x14ac:dyDescent="0.25">
      <c r="B458" s="23"/>
      <c r="I458" s="26"/>
    </row>
    <row r="459" spans="2:9" ht="19.899999999999999" customHeight="1" x14ac:dyDescent="0.25">
      <c r="B459" s="24" t="s">
        <v>495</v>
      </c>
      <c r="C459" s="18" t="s">
        <v>485</v>
      </c>
      <c r="D459" s="52" t="s">
        <v>496</v>
      </c>
      <c r="E459" s="53"/>
      <c r="F459" s="53"/>
      <c r="G459" s="53"/>
      <c r="H459" s="53"/>
      <c r="I459" s="54"/>
    </row>
    <row r="460" spans="2:9" ht="19.899999999999999" customHeight="1" x14ac:dyDescent="0.25">
      <c r="B460" s="23"/>
      <c r="C460" s="2" t="s">
        <v>497</v>
      </c>
      <c r="D460" s="45" t="s">
        <v>498</v>
      </c>
      <c r="E460" s="46"/>
      <c r="F460" s="46"/>
      <c r="G460" s="46"/>
      <c r="H460" s="46"/>
      <c r="I460" s="47"/>
    </row>
    <row r="461" spans="2:9" ht="19.899999999999999" customHeight="1" x14ac:dyDescent="0.25">
      <c r="B461" s="23"/>
      <c r="C461" s="2" t="s">
        <v>499</v>
      </c>
      <c r="D461" s="45" t="s">
        <v>500</v>
      </c>
      <c r="E461" s="46"/>
      <c r="F461" s="46"/>
      <c r="G461" s="46"/>
      <c r="H461" s="46"/>
      <c r="I461" s="47"/>
    </row>
    <row r="462" spans="2:9" ht="19.899999999999999" customHeight="1" x14ac:dyDescent="0.25">
      <c r="B462" s="23"/>
      <c r="C462" s="2" t="s">
        <v>341</v>
      </c>
      <c r="D462" s="45" t="s">
        <v>342</v>
      </c>
      <c r="E462" s="46"/>
      <c r="F462" s="46"/>
      <c r="G462" s="46"/>
      <c r="H462" s="46"/>
      <c r="I462" s="47"/>
    </row>
    <row r="463" spans="2:9" ht="19.899999999999999" customHeight="1" x14ac:dyDescent="0.25">
      <c r="B463" s="23"/>
      <c r="C463" s="2" t="s">
        <v>501</v>
      </c>
      <c r="D463" s="45" t="s">
        <v>502</v>
      </c>
      <c r="E463" s="46"/>
      <c r="F463" s="46"/>
      <c r="G463" s="46"/>
      <c r="H463" s="46"/>
      <c r="I463" s="47"/>
    </row>
    <row r="464" spans="2:9" ht="19.899999999999999" customHeight="1" x14ac:dyDescent="0.25">
      <c r="B464" s="23"/>
      <c r="C464" s="2" t="s">
        <v>503</v>
      </c>
      <c r="D464" s="45" t="s">
        <v>504</v>
      </c>
      <c r="E464" s="46"/>
      <c r="F464" s="46"/>
      <c r="G464" s="46"/>
      <c r="H464" s="46"/>
      <c r="I464" s="47"/>
    </row>
    <row r="465" spans="2:9" ht="19.899999999999999" customHeight="1" x14ac:dyDescent="0.25">
      <c r="B465" s="23"/>
      <c r="C465" s="2" t="s">
        <v>505</v>
      </c>
      <c r="D465" s="45" t="s">
        <v>506</v>
      </c>
      <c r="E465" s="46"/>
      <c r="F465" s="46"/>
      <c r="G465" s="46"/>
      <c r="H465" s="46"/>
      <c r="I465" s="47"/>
    </row>
    <row r="466" spans="2:9" ht="19.899999999999999" customHeight="1" x14ac:dyDescent="0.25">
      <c r="B466" s="23"/>
      <c r="C466" s="2" t="s">
        <v>507</v>
      </c>
      <c r="D466" s="45" t="s">
        <v>508</v>
      </c>
      <c r="E466" s="46"/>
      <c r="F466" s="46"/>
      <c r="G466" s="46"/>
      <c r="H466" s="46"/>
      <c r="I466" s="47"/>
    </row>
    <row r="467" spans="2:9" x14ac:dyDescent="0.25">
      <c r="B467" s="23"/>
      <c r="I467" s="26"/>
    </row>
    <row r="468" spans="2:9" x14ac:dyDescent="0.25">
      <c r="B468" s="23"/>
      <c r="C468" s="55" t="s">
        <v>60</v>
      </c>
      <c r="D468" s="46"/>
      <c r="E468" s="46"/>
      <c r="F468" s="46"/>
      <c r="G468" s="46"/>
      <c r="H468" s="46"/>
      <c r="I468" s="47"/>
    </row>
    <row r="469" spans="2:9" x14ac:dyDescent="0.25">
      <c r="B469" s="23"/>
      <c r="I469" s="26"/>
    </row>
    <row r="470" spans="2:9" ht="63.4" customHeight="1" x14ac:dyDescent="0.25">
      <c r="B470" s="24" t="s">
        <v>509</v>
      </c>
      <c r="C470" s="18" t="s">
        <v>510</v>
      </c>
      <c r="D470" s="52" t="s">
        <v>511</v>
      </c>
      <c r="E470" s="53"/>
      <c r="F470" s="53"/>
      <c r="G470" s="53"/>
      <c r="H470" s="53"/>
      <c r="I470" s="54"/>
    </row>
    <row r="471" spans="2:9" ht="19.899999999999999" customHeight="1" x14ac:dyDescent="0.25">
      <c r="B471" s="23"/>
      <c r="C471" s="2" t="s">
        <v>512</v>
      </c>
      <c r="D471" s="45" t="s">
        <v>513</v>
      </c>
      <c r="E471" s="46"/>
      <c r="F471" s="46"/>
      <c r="G471" s="46"/>
      <c r="H471" s="46"/>
      <c r="I471" s="47"/>
    </row>
    <row r="472" spans="2:9" ht="19.899999999999999" customHeight="1" x14ac:dyDescent="0.25">
      <c r="B472" s="23"/>
      <c r="C472" s="2" t="s">
        <v>514</v>
      </c>
      <c r="D472" s="45" t="s">
        <v>515</v>
      </c>
      <c r="E472" s="46"/>
      <c r="F472" s="46"/>
      <c r="G472" s="46"/>
      <c r="H472" s="46"/>
      <c r="I472" s="47"/>
    </row>
    <row r="473" spans="2:9" ht="19.899999999999999" customHeight="1" x14ac:dyDescent="0.25">
      <c r="B473" s="23"/>
      <c r="C473" s="2" t="s">
        <v>516</v>
      </c>
      <c r="D473" s="45" t="s">
        <v>517</v>
      </c>
      <c r="E473" s="46"/>
      <c r="F473" s="46"/>
      <c r="G473" s="46"/>
      <c r="H473" s="46"/>
      <c r="I473" s="47"/>
    </row>
    <row r="474" spans="2:9" ht="19.899999999999999" customHeight="1" x14ac:dyDescent="0.25">
      <c r="B474" s="23"/>
      <c r="C474" s="2" t="s">
        <v>518</v>
      </c>
      <c r="D474" s="45" t="s">
        <v>519</v>
      </c>
      <c r="E474" s="46"/>
      <c r="F474" s="46"/>
      <c r="G474" s="46"/>
      <c r="H474" s="46"/>
      <c r="I474" s="47"/>
    </row>
    <row r="475" spans="2:9" ht="19.899999999999999" customHeight="1" x14ac:dyDescent="0.25">
      <c r="B475" s="23"/>
      <c r="C475" s="2" t="s">
        <v>520</v>
      </c>
      <c r="D475" s="45" t="s">
        <v>521</v>
      </c>
      <c r="E475" s="46"/>
      <c r="F475" s="46"/>
      <c r="G475" s="46"/>
      <c r="H475" s="46"/>
      <c r="I475" s="47"/>
    </row>
    <row r="476" spans="2:9" ht="19.899999999999999" customHeight="1" x14ac:dyDescent="0.25">
      <c r="B476" s="23"/>
      <c r="C476" s="2" t="s">
        <v>247</v>
      </c>
      <c r="D476" s="45" t="s">
        <v>248</v>
      </c>
      <c r="E476" s="46"/>
      <c r="F476" s="46"/>
      <c r="G476" s="46"/>
      <c r="H476" s="46"/>
      <c r="I476" s="47"/>
    </row>
    <row r="477" spans="2:9" ht="19.899999999999999" customHeight="1" x14ac:dyDescent="0.25">
      <c r="B477" s="23"/>
      <c r="C477" s="2" t="s">
        <v>522</v>
      </c>
      <c r="D477" s="45" t="s">
        <v>523</v>
      </c>
      <c r="E477" s="46"/>
      <c r="F477" s="46"/>
      <c r="G477" s="46"/>
      <c r="H477" s="46"/>
      <c r="I477" s="47"/>
    </row>
    <row r="478" spans="2:9" ht="19.899999999999999" customHeight="1" x14ac:dyDescent="0.25">
      <c r="B478" s="23"/>
      <c r="C478" s="2" t="s">
        <v>524</v>
      </c>
      <c r="D478" s="45" t="s">
        <v>525</v>
      </c>
      <c r="E478" s="46"/>
      <c r="F478" s="46"/>
      <c r="G478" s="46"/>
      <c r="H478" s="46"/>
      <c r="I478" s="47"/>
    </row>
    <row r="479" spans="2:9" ht="19.899999999999999" customHeight="1" x14ac:dyDescent="0.25">
      <c r="B479" s="23"/>
      <c r="C479" s="2" t="s">
        <v>526</v>
      </c>
      <c r="D479" s="45" t="s">
        <v>527</v>
      </c>
      <c r="E479" s="46"/>
      <c r="F479" s="46"/>
      <c r="G479" s="46"/>
      <c r="H479" s="46"/>
      <c r="I479" s="47"/>
    </row>
    <row r="480" spans="2:9" ht="19.899999999999999" customHeight="1" x14ac:dyDescent="0.25">
      <c r="B480" s="23"/>
      <c r="C480" s="2" t="s">
        <v>528</v>
      </c>
      <c r="D480" s="45" t="s">
        <v>529</v>
      </c>
      <c r="E480" s="46"/>
      <c r="F480" s="46"/>
      <c r="G480" s="46"/>
      <c r="H480" s="46"/>
      <c r="I480" s="47"/>
    </row>
    <row r="481" spans="2:9" ht="19.899999999999999" customHeight="1" x14ac:dyDescent="0.25">
      <c r="B481" s="23"/>
      <c r="C481" s="2" t="s">
        <v>530</v>
      </c>
      <c r="D481" s="45" t="s">
        <v>531</v>
      </c>
      <c r="E481" s="46"/>
      <c r="F481" s="46"/>
      <c r="G481" s="46"/>
      <c r="H481" s="46"/>
      <c r="I481" s="47"/>
    </row>
    <row r="482" spans="2:9" ht="19.899999999999999" customHeight="1" x14ac:dyDescent="0.25">
      <c r="B482" s="23"/>
      <c r="C482" s="2" t="s">
        <v>532</v>
      </c>
      <c r="D482" s="45" t="s">
        <v>533</v>
      </c>
      <c r="E482" s="46"/>
      <c r="F482" s="46"/>
      <c r="G482" s="46"/>
      <c r="H482" s="46"/>
      <c r="I482" s="47"/>
    </row>
    <row r="483" spans="2:9" x14ac:dyDescent="0.25">
      <c r="B483" s="23"/>
      <c r="I483" s="26"/>
    </row>
    <row r="484" spans="2:9" x14ac:dyDescent="0.25">
      <c r="B484" s="23"/>
      <c r="C484" s="55" t="s">
        <v>60</v>
      </c>
      <c r="D484" s="46"/>
      <c r="E484" s="46"/>
      <c r="F484" s="46"/>
      <c r="G484" s="46"/>
      <c r="H484" s="46"/>
      <c r="I484" s="47"/>
    </row>
    <row r="485" spans="2:9" x14ac:dyDescent="0.25">
      <c r="B485" s="23"/>
      <c r="I485" s="26"/>
    </row>
    <row r="486" spans="2:9" ht="63.4" customHeight="1" x14ac:dyDescent="0.25">
      <c r="B486" s="24" t="s">
        <v>534</v>
      </c>
      <c r="C486" s="18" t="s">
        <v>510</v>
      </c>
      <c r="D486" s="52" t="s">
        <v>535</v>
      </c>
      <c r="E486" s="53"/>
      <c r="F486" s="53"/>
      <c r="G486" s="53"/>
      <c r="H486" s="53"/>
      <c r="I486" s="54"/>
    </row>
    <row r="487" spans="2:9" ht="19.899999999999999" customHeight="1" x14ac:dyDescent="0.25">
      <c r="B487" s="23"/>
      <c r="C487" s="2" t="s">
        <v>512</v>
      </c>
      <c r="D487" s="45" t="s">
        <v>513</v>
      </c>
      <c r="E487" s="46"/>
      <c r="F487" s="46"/>
      <c r="G487" s="46"/>
      <c r="H487" s="46"/>
      <c r="I487" s="47"/>
    </row>
    <row r="488" spans="2:9" ht="19.899999999999999" customHeight="1" x14ac:dyDescent="0.25">
      <c r="B488" s="23"/>
      <c r="C488" s="2" t="s">
        <v>514</v>
      </c>
      <c r="D488" s="45" t="s">
        <v>515</v>
      </c>
      <c r="E488" s="46"/>
      <c r="F488" s="46"/>
      <c r="G488" s="46"/>
      <c r="H488" s="46"/>
      <c r="I488" s="47"/>
    </row>
    <row r="489" spans="2:9" ht="19.899999999999999" customHeight="1" x14ac:dyDescent="0.25">
      <c r="B489" s="23"/>
      <c r="C489" s="2" t="s">
        <v>516</v>
      </c>
      <c r="D489" s="45" t="s">
        <v>517</v>
      </c>
      <c r="E489" s="46"/>
      <c r="F489" s="46"/>
      <c r="G489" s="46"/>
      <c r="H489" s="46"/>
      <c r="I489" s="47"/>
    </row>
    <row r="490" spans="2:9" ht="19.899999999999999" customHeight="1" x14ac:dyDescent="0.25">
      <c r="B490" s="23"/>
      <c r="C490" s="2" t="s">
        <v>518</v>
      </c>
      <c r="D490" s="45" t="s">
        <v>519</v>
      </c>
      <c r="E490" s="46"/>
      <c r="F490" s="46"/>
      <c r="G490" s="46"/>
      <c r="H490" s="46"/>
      <c r="I490" s="47"/>
    </row>
    <row r="491" spans="2:9" ht="19.899999999999999" customHeight="1" x14ac:dyDescent="0.25">
      <c r="B491" s="23"/>
      <c r="C491" s="2" t="s">
        <v>520</v>
      </c>
      <c r="D491" s="45" t="s">
        <v>521</v>
      </c>
      <c r="E491" s="46"/>
      <c r="F491" s="46"/>
      <c r="G491" s="46"/>
      <c r="H491" s="46"/>
      <c r="I491" s="47"/>
    </row>
    <row r="492" spans="2:9" ht="19.899999999999999" customHeight="1" x14ac:dyDescent="0.25">
      <c r="B492" s="23"/>
      <c r="C492" s="2" t="s">
        <v>247</v>
      </c>
      <c r="D492" s="45" t="s">
        <v>248</v>
      </c>
      <c r="E492" s="46"/>
      <c r="F492" s="46"/>
      <c r="G492" s="46"/>
      <c r="H492" s="46"/>
      <c r="I492" s="47"/>
    </row>
    <row r="493" spans="2:9" ht="19.899999999999999" customHeight="1" x14ac:dyDescent="0.25">
      <c r="B493" s="23"/>
      <c r="C493" s="2" t="s">
        <v>522</v>
      </c>
      <c r="D493" s="45" t="s">
        <v>523</v>
      </c>
      <c r="E493" s="46"/>
      <c r="F493" s="46"/>
      <c r="G493" s="46"/>
      <c r="H493" s="46"/>
      <c r="I493" s="47"/>
    </row>
    <row r="494" spans="2:9" ht="19.899999999999999" customHeight="1" x14ac:dyDescent="0.25">
      <c r="B494" s="23"/>
      <c r="C494" s="2" t="s">
        <v>524</v>
      </c>
      <c r="D494" s="45" t="s">
        <v>525</v>
      </c>
      <c r="E494" s="46"/>
      <c r="F494" s="46"/>
      <c r="G494" s="46"/>
      <c r="H494" s="46"/>
      <c r="I494" s="47"/>
    </row>
    <row r="495" spans="2:9" ht="19.899999999999999" customHeight="1" x14ac:dyDescent="0.25">
      <c r="B495" s="23"/>
      <c r="C495" s="2" t="s">
        <v>526</v>
      </c>
      <c r="D495" s="45" t="s">
        <v>527</v>
      </c>
      <c r="E495" s="46"/>
      <c r="F495" s="46"/>
      <c r="G495" s="46"/>
      <c r="H495" s="46"/>
      <c r="I495" s="47"/>
    </row>
    <row r="496" spans="2:9" ht="19.899999999999999" customHeight="1" x14ac:dyDescent="0.25">
      <c r="B496" s="23"/>
      <c r="C496" s="2" t="s">
        <v>528</v>
      </c>
      <c r="D496" s="45" t="s">
        <v>529</v>
      </c>
      <c r="E496" s="46"/>
      <c r="F496" s="46"/>
      <c r="G496" s="46"/>
      <c r="H496" s="46"/>
      <c r="I496" s="47"/>
    </row>
    <row r="497" spans="2:9" ht="19.899999999999999" customHeight="1" x14ac:dyDescent="0.25">
      <c r="B497" s="23"/>
      <c r="C497" s="2" t="s">
        <v>530</v>
      </c>
      <c r="D497" s="45" t="s">
        <v>531</v>
      </c>
      <c r="E497" s="46"/>
      <c r="F497" s="46"/>
      <c r="G497" s="46"/>
      <c r="H497" s="46"/>
      <c r="I497" s="47"/>
    </row>
    <row r="498" spans="2:9" ht="19.899999999999999" customHeight="1" x14ac:dyDescent="0.25">
      <c r="B498" s="23"/>
      <c r="C498" s="2" t="s">
        <v>532</v>
      </c>
      <c r="D498" s="45" t="s">
        <v>533</v>
      </c>
      <c r="E498" s="46"/>
      <c r="F498" s="46"/>
      <c r="G498" s="46"/>
      <c r="H498" s="46"/>
      <c r="I498" s="47"/>
    </row>
    <row r="499" spans="2:9" x14ac:dyDescent="0.25">
      <c r="B499" s="23"/>
      <c r="I499" s="26"/>
    </row>
    <row r="500" spans="2:9" x14ac:dyDescent="0.25">
      <c r="B500" s="23"/>
      <c r="C500" s="55" t="s">
        <v>60</v>
      </c>
      <c r="D500" s="46"/>
      <c r="E500" s="46"/>
      <c r="F500" s="46"/>
      <c r="G500" s="46"/>
      <c r="H500" s="46"/>
      <c r="I500" s="47"/>
    </row>
    <row r="501" spans="2:9" x14ac:dyDescent="0.25">
      <c r="B501" s="25"/>
      <c r="C501" s="21"/>
      <c r="D501" s="21"/>
      <c r="E501" s="21"/>
      <c r="F501" s="21"/>
      <c r="G501" s="21"/>
      <c r="H501" s="21"/>
      <c r="I501" s="27"/>
    </row>
    <row r="503" spans="2:9" x14ac:dyDescent="0.25">
      <c r="B503" s="3" t="s">
        <v>82</v>
      </c>
    </row>
    <row r="504" spans="2:9" ht="19.899999999999999" customHeight="1" x14ac:dyDescent="0.25">
      <c r="B504" s="29" t="s">
        <v>536</v>
      </c>
      <c r="C504" s="42" t="s">
        <v>537</v>
      </c>
      <c r="D504" s="43"/>
      <c r="E504" s="43"/>
      <c r="F504" s="43"/>
      <c r="G504" s="43"/>
      <c r="H504" s="43"/>
      <c r="I504" s="44"/>
    </row>
    <row r="505" spans="2:9" ht="19.899999999999999" customHeight="1" x14ac:dyDescent="0.25">
      <c r="B505" s="30" t="s">
        <v>538</v>
      </c>
      <c r="C505" s="52" t="s">
        <v>539</v>
      </c>
      <c r="D505" s="53"/>
      <c r="E505" s="46"/>
      <c r="F505" s="46"/>
      <c r="G505" s="46"/>
      <c r="H505" s="46"/>
      <c r="I505" s="47"/>
    </row>
    <row r="506" spans="2:9" ht="19.899999999999999" customHeight="1" x14ac:dyDescent="0.25">
      <c r="B506" s="30" t="s">
        <v>540</v>
      </c>
      <c r="C506" s="52" t="s">
        <v>541</v>
      </c>
      <c r="D506" s="53"/>
      <c r="E506" s="46"/>
      <c r="F506" s="46"/>
      <c r="G506" s="46"/>
      <c r="H506" s="46"/>
      <c r="I506" s="47"/>
    </row>
    <row r="507" spans="2:9" ht="19.899999999999999" customHeight="1" x14ac:dyDescent="0.25">
      <c r="B507" s="30" t="s">
        <v>542</v>
      </c>
      <c r="C507" s="52" t="s">
        <v>543</v>
      </c>
      <c r="D507" s="53"/>
      <c r="E507" s="46"/>
      <c r="F507" s="46"/>
      <c r="G507" s="46"/>
      <c r="H507" s="46"/>
      <c r="I507" s="47"/>
    </row>
    <row r="508" spans="2:9" ht="19.899999999999999" customHeight="1" x14ac:dyDescent="0.25">
      <c r="B508" s="30" t="s">
        <v>544</v>
      </c>
      <c r="C508" s="52" t="s">
        <v>545</v>
      </c>
      <c r="D508" s="53"/>
      <c r="E508" s="46"/>
      <c r="F508" s="46"/>
      <c r="G508" s="46"/>
      <c r="H508" s="46"/>
      <c r="I508" s="47"/>
    </row>
    <row r="509" spans="2:9" ht="19.899999999999999" customHeight="1" x14ac:dyDescent="0.25">
      <c r="B509" s="30" t="s">
        <v>546</v>
      </c>
      <c r="C509" s="52" t="s">
        <v>547</v>
      </c>
      <c r="D509" s="53"/>
      <c r="E509" s="46"/>
      <c r="F509" s="46"/>
      <c r="G509" s="46"/>
      <c r="H509" s="46"/>
      <c r="I509" s="47"/>
    </row>
    <row r="510" spans="2:9" ht="19.899999999999999" customHeight="1" x14ac:dyDescent="0.25">
      <c r="B510" s="30" t="s">
        <v>548</v>
      </c>
      <c r="C510" s="52" t="s">
        <v>549</v>
      </c>
      <c r="D510" s="53"/>
      <c r="E510" s="46"/>
      <c r="F510" s="46"/>
      <c r="G510" s="46"/>
      <c r="H510" s="46"/>
      <c r="I510" s="47"/>
    </row>
    <row r="511" spans="2:9" ht="19.899999999999999" customHeight="1" x14ac:dyDescent="0.25">
      <c r="B511" s="30" t="s">
        <v>550</v>
      </c>
      <c r="C511" s="52" t="s">
        <v>551</v>
      </c>
      <c r="D511" s="53"/>
      <c r="E511" s="46"/>
      <c r="F511" s="46"/>
      <c r="G511" s="46"/>
      <c r="H511" s="46"/>
      <c r="I511" s="47"/>
    </row>
    <row r="512" spans="2:9" ht="19.899999999999999" customHeight="1" x14ac:dyDescent="0.25">
      <c r="B512" s="30" t="s">
        <v>552</v>
      </c>
      <c r="C512" s="52" t="s">
        <v>553</v>
      </c>
      <c r="D512" s="53"/>
      <c r="E512" s="46"/>
      <c r="F512" s="46"/>
      <c r="G512" s="46"/>
      <c r="H512" s="46"/>
      <c r="I512" s="47"/>
    </row>
    <row r="513" spans="1:9" ht="19.899999999999999" customHeight="1" x14ac:dyDescent="0.25">
      <c r="B513" s="30" t="s">
        <v>554</v>
      </c>
      <c r="C513" s="52" t="s">
        <v>555</v>
      </c>
      <c r="D513" s="53"/>
      <c r="E513" s="46"/>
      <c r="F513" s="46"/>
      <c r="G513" s="46"/>
      <c r="H513" s="46"/>
      <c r="I513" s="47"/>
    </row>
    <row r="514" spans="1:9" ht="19.899999999999999" customHeight="1" x14ac:dyDescent="0.25">
      <c r="B514" s="31" t="s">
        <v>556</v>
      </c>
      <c r="C514" s="59" t="s">
        <v>557</v>
      </c>
      <c r="D514" s="60"/>
      <c r="E514" s="49"/>
      <c r="F514" s="49"/>
      <c r="G514" s="49"/>
      <c r="H514" s="49"/>
      <c r="I514" s="50"/>
    </row>
    <row r="518" spans="1:9" ht="92.25" customHeight="1" x14ac:dyDescent="0.25">
      <c r="A518" s="45" t="s">
        <v>8</v>
      </c>
      <c r="B518" s="46"/>
      <c r="C518" s="46"/>
      <c r="D518" s="46"/>
      <c r="E518" s="46"/>
      <c r="F518" s="46"/>
      <c r="G518" s="46"/>
      <c r="H518" s="46"/>
      <c r="I518" s="46"/>
    </row>
    <row r="519" spans="1:9" ht="18.75" x14ac:dyDescent="0.25">
      <c r="A519" s="16" t="s">
        <v>558</v>
      </c>
      <c r="B519" s="3" t="s">
        <v>47</v>
      </c>
    </row>
    <row r="520" spans="1:9" ht="48.95" customHeight="1" x14ac:dyDescent="0.25">
      <c r="B520" s="22" t="s">
        <v>559</v>
      </c>
      <c r="C520" s="20" t="s">
        <v>49</v>
      </c>
      <c r="D520" s="42" t="s">
        <v>560</v>
      </c>
      <c r="E520" s="43"/>
      <c r="F520" s="43"/>
      <c r="G520" s="43"/>
      <c r="H520" s="43"/>
      <c r="I520" s="44"/>
    </row>
    <row r="521" spans="1:9" ht="19.899999999999999" customHeight="1" x14ac:dyDescent="0.25">
      <c r="B521" s="23"/>
      <c r="C521" s="2" t="s">
        <v>561</v>
      </c>
      <c r="D521" s="45" t="s">
        <v>562</v>
      </c>
      <c r="E521" s="46"/>
      <c r="F521" s="46"/>
      <c r="G521" s="46"/>
      <c r="H521" s="46"/>
      <c r="I521" s="47"/>
    </row>
    <row r="522" spans="1:9" ht="19.899999999999999" customHeight="1" x14ac:dyDescent="0.25">
      <c r="B522" s="23"/>
      <c r="C522" s="2" t="s">
        <v>563</v>
      </c>
      <c r="D522" s="45" t="s">
        <v>564</v>
      </c>
      <c r="E522" s="46"/>
      <c r="F522" s="46"/>
      <c r="G522" s="46"/>
      <c r="H522" s="46"/>
      <c r="I522" s="47"/>
    </row>
    <row r="523" spans="1:9" ht="34.35" customHeight="1" x14ac:dyDescent="0.25">
      <c r="B523" s="23"/>
      <c r="C523" s="2" t="s">
        <v>565</v>
      </c>
      <c r="D523" s="45" t="s">
        <v>566</v>
      </c>
      <c r="E523" s="46"/>
      <c r="F523" s="46"/>
      <c r="G523" s="46"/>
      <c r="H523" s="46"/>
      <c r="I523" s="47"/>
    </row>
    <row r="524" spans="1:9" x14ac:dyDescent="0.25">
      <c r="B524" s="23"/>
      <c r="I524" s="26"/>
    </row>
    <row r="525" spans="1:9" x14ac:dyDescent="0.25">
      <c r="B525" s="23"/>
      <c r="C525" s="51" t="s">
        <v>55</v>
      </c>
      <c r="D525" s="46"/>
      <c r="E525" s="46"/>
      <c r="F525" s="46"/>
      <c r="G525" s="46"/>
      <c r="H525" s="46"/>
      <c r="I525" s="47"/>
    </row>
    <row r="526" spans="1:9" x14ac:dyDescent="0.25">
      <c r="B526" s="23"/>
      <c r="I526" s="26"/>
    </row>
    <row r="527" spans="1:9" ht="19.899999999999999" customHeight="1" x14ac:dyDescent="0.25">
      <c r="B527" s="24" t="s">
        <v>567</v>
      </c>
      <c r="C527" s="19" t="s">
        <v>220</v>
      </c>
      <c r="D527" s="52" t="s">
        <v>568</v>
      </c>
      <c r="E527" s="53"/>
      <c r="F527" s="53"/>
      <c r="G527" s="53"/>
      <c r="H527" s="53"/>
      <c r="I527" s="54"/>
    </row>
    <row r="528" spans="1:9" x14ac:dyDescent="0.25">
      <c r="B528" s="23"/>
      <c r="C528" s="2" t="s">
        <v>222</v>
      </c>
      <c r="I528" s="26"/>
    </row>
    <row r="529" spans="2:9" x14ac:dyDescent="0.25">
      <c r="B529" s="23"/>
      <c r="I529" s="26"/>
    </row>
    <row r="530" spans="2:9" x14ac:dyDescent="0.25">
      <c r="B530" s="23"/>
      <c r="C530" s="55" t="s">
        <v>60</v>
      </c>
      <c r="D530" s="46"/>
      <c r="E530" s="46"/>
      <c r="F530" s="46"/>
      <c r="G530" s="46"/>
      <c r="H530" s="46"/>
      <c r="I530" s="47"/>
    </row>
    <row r="531" spans="2:9" x14ac:dyDescent="0.25">
      <c r="B531" s="23"/>
      <c r="I531" s="26"/>
    </row>
    <row r="532" spans="2:9" ht="48.95" customHeight="1" x14ac:dyDescent="0.25">
      <c r="B532" s="24" t="s">
        <v>569</v>
      </c>
      <c r="C532" s="19" t="s">
        <v>213</v>
      </c>
      <c r="D532" s="52" t="s">
        <v>570</v>
      </c>
      <c r="E532" s="53"/>
      <c r="F532" s="53"/>
      <c r="G532" s="53"/>
      <c r="H532" s="53"/>
      <c r="I532" s="54"/>
    </row>
    <row r="533" spans="2:9" x14ac:dyDescent="0.25">
      <c r="B533" s="23"/>
      <c r="I533" s="26"/>
    </row>
    <row r="534" spans="2:9" x14ac:dyDescent="0.25">
      <c r="B534" s="23"/>
      <c r="C534" s="55" t="s">
        <v>60</v>
      </c>
      <c r="D534" s="46"/>
      <c r="E534" s="46"/>
      <c r="F534" s="46"/>
      <c r="G534" s="46"/>
      <c r="H534" s="46"/>
      <c r="I534" s="47"/>
    </row>
    <row r="535" spans="2:9" x14ac:dyDescent="0.25">
      <c r="B535" s="23"/>
      <c r="I535" s="26"/>
    </row>
    <row r="536" spans="2:9" ht="19.899999999999999" customHeight="1" x14ac:dyDescent="0.25">
      <c r="B536" s="24" t="s">
        <v>484</v>
      </c>
      <c r="C536" s="18" t="s">
        <v>485</v>
      </c>
      <c r="D536" s="52" t="s">
        <v>571</v>
      </c>
      <c r="E536" s="53"/>
      <c r="F536" s="53"/>
      <c r="G536" s="53"/>
      <c r="H536" s="53"/>
      <c r="I536" s="54"/>
    </row>
    <row r="537" spans="2:9" ht="19.899999999999999" customHeight="1" x14ac:dyDescent="0.25">
      <c r="B537" s="23"/>
      <c r="C537" s="2" t="s">
        <v>487</v>
      </c>
      <c r="D537" s="45" t="s">
        <v>572</v>
      </c>
      <c r="E537" s="46"/>
      <c r="F537" s="46"/>
      <c r="G537" s="46"/>
      <c r="H537" s="46"/>
      <c r="I537" s="47"/>
    </row>
    <row r="538" spans="2:9" ht="19.899999999999999" customHeight="1" x14ac:dyDescent="0.25">
      <c r="B538" s="23"/>
      <c r="C538" s="2" t="s">
        <v>489</v>
      </c>
      <c r="D538" s="45" t="s">
        <v>490</v>
      </c>
      <c r="E538" s="46"/>
      <c r="F538" s="46"/>
      <c r="G538" s="46"/>
      <c r="H538" s="46"/>
      <c r="I538" s="47"/>
    </row>
    <row r="539" spans="2:9" ht="19.899999999999999" customHeight="1" x14ac:dyDescent="0.25">
      <c r="B539" s="23"/>
      <c r="C539" s="2" t="s">
        <v>491</v>
      </c>
      <c r="D539" s="45" t="s">
        <v>492</v>
      </c>
      <c r="E539" s="46"/>
      <c r="F539" s="46"/>
      <c r="G539" s="46"/>
      <c r="H539" s="46"/>
      <c r="I539" s="47"/>
    </row>
    <row r="540" spans="2:9" ht="19.899999999999999" customHeight="1" x14ac:dyDescent="0.25">
      <c r="B540" s="23"/>
      <c r="C540" s="2" t="s">
        <v>493</v>
      </c>
      <c r="D540" s="45" t="s">
        <v>494</v>
      </c>
      <c r="E540" s="46"/>
      <c r="F540" s="46"/>
      <c r="G540" s="46"/>
      <c r="H540" s="46"/>
      <c r="I540" s="47"/>
    </row>
    <row r="541" spans="2:9" ht="19.899999999999999" customHeight="1" x14ac:dyDescent="0.25">
      <c r="B541" s="23"/>
      <c r="C541" s="2" t="s">
        <v>573</v>
      </c>
      <c r="D541" s="45" t="s">
        <v>574</v>
      </c>
      <c r="E541" s="46"/>
      <c r="F541" s="46"/>
      <c r="G541" s="46"/>
      <c r="H541" s="46"/>
      <c r="I541" s="47"/>
    </row>
    <row r="542" spans="2:9" x14ac:dyDescent="0.25">
      <c r="B542" s="23"/>
      <c r="I542" s="26"/>
    </row>
    <row r="543" spans="2:9" x14ac:dyDescent="0.25">
      <c r="B543" s="23"/>
      <c r="C543" s="55" t="s">
        <v>60</v>
      </c>
      <c r="D543" s="46"/>
      <c r="E543" s="46"/>
      <c r="F543" s="46"/>
      <c r="G543" s="46"/>
      <c r="H543" s="46"/>
      <c r="I543" s="47"/>
    </row>
    <row r="544" spans="2:9" x14ac:dyDescent="0.25">
      <c r="B544" s="23"/>
      <c r="I544" s="26"/>
    </row>
    <row r="545" spans="2:9" ht="48.95" customHeight="1" x14ac:dyDescent="0.25">
      <c r="B545" s="24" t="s">
        <v>575</v>
      </c>
      <c r="C545" s="18" t="s">
        <v>485</v>
      </c>
      <c r="D545" s="52" t="s">
        <v>576</v>
      </c>
      <c r="E545" s="53"/>
      <c r="F545" s="53"/>
      <c r="G545" s="53"/>
      <c r="H545" s="53"/>
      <c r="I545" s="54"/>
    </row>
    <row r="546" spans="2:9" ht="19.899999999999999" customHeight="1" x14ac:dyDescent="0.25">
      <c r="B546" s="23"/>
      <c r="C546" s="2" t="s">
        <v>577</v>
      </c>
      <c r="D546" s="45" t="s">
        <v>578</v>
      </c>
      <c r="E546" s="46"/>
      <c r="F546" s="46"/>
      <c r="G546" s="46"/>
      <c r="H546" s="46"/>
      <c r="I546" s="47"/>
    </row>
    <row r="547" spans="2:9" ht="19.899999999999999" customHeight="1" x14ac:dyDescent="0.25">
      <c r="B547" s="23"/>
      <c r="C547" s="2" t="s">
        <v>474</v>
      </c>
      <c r="D547" s="45" t="s">
        <v>475</v>
      </c>
      <c r="E547" s="46"/>
      <c r="F547" s="46"/>
      <c r="G547" s="46"/>
      <c r="H547" s="46"/>
      <c r="I547" s="47"/>
    </row>
    <row r="548" spans="2:9" ht="19.899999999999999" customHeight="1" x14ac:dyDescent="0.25">
      <c r="B548" s="23"/>
      <c r="C548" s="2" t="s">
        <v>476</v>
      </c>
      <c r="D548" s="45" t="s">
        <v>477</v>
      </c>
      <c r="E548" s="46"/>
      <c r="F548" s="46"/>
      <c r="G548" s="46"/>
      <c r="H548" s="46"/>
      <c r="I548" s="47"/>
    </row>
    <row r="549" spans="2:9" x14ac:dyDescent="0.25">
      <c r="B549" s="23"/>
      <c r="I549" s="26"/>
    </row>
    <row r="550" spans="2:9" x14ac:dyDescent="0.25">
      <c r="B550" s="23"/>
      <c r="C550" s="55" t="s">
        <v>60</v>
      </c>
      <c r="D550" s="46"/>
      <c r="E550" s="46"/>
      <c r="F550" s="46"/>
      <c r="G550" s="46"/>
      <c r="H550" s="46"/>
      <c r="I550" s="47"/>
    </row>
    <row r="551" spans="2:9" x14ac:dyDescent="0.25">
      <c r="B551" s="23"/>
      <c r="I551" s="26"/>
    </row>
    <row r="552" spans="2:9" ht="63.4" customHeight="1" x14ac:dyDescent="0.25">
      <c r="B552" s="24" t="s">
        <v>509</v>
      </c>
      <c r="C552" s="18" t="s">
        <v>468</v>
      </c>
      <c r="D552" s="52" t="s">
        <v>579</v>
      </c>
      <c r="E552" s="53"/>
      <c r="F552" s="53"/>
      <c r="G552" s="53"/>
      <c r="H552" s="53"/>
      <c r="I552" s="54"/>
    </row>
    <row r="553" spans="2:9" ht="19.899999999999999" customHeight="1" x14ac:dyDescent="0.25">
      <c r="B553" s="23"/>
      <c r="C553" s="2" t="s">
        <v>470</v>
      </c>
      <c r="D553" s="45" t="s">
        <v>471</v>
      </c>
      <c r="E553" s="46"/>
      <c r="F553" s="46"/>
      <c r="G553" s="46"/>
      <c r="H553" s="46"/>
      <c r="I553" s="47"/>
    </row>
    <row r="554" spans="2:9" ht="19.899999999999999" customHeight="1" x14ac:dyDescent="0.25">
      <c r="B554" s="23"/>
      <c r="C554" s="2" t="s">
        <v>514</v>
      </c>
      <c r="D554" s="45" t="s">
        <v>515</v>
      </c>
      <c r="E554" s="46"/>
      <c r="F554" s="46"/>
      <c r="G554" s="46"/>
      <c r="H554" s="46"/>
      <c r="I554" s="47"/>
    </row>
    <row r="555" spans="2:9" ht="19.899999999999999" customHeight="1" x14ac:dyDescent="0.25">
      <c r="B555" s="23"/>
      <c r="C555" s="2" t="s">
        <v>516</v>
      </c>
      <c r="D555" s="45" t="s">
        <v>517</v>
      </c>
      <c r="E555" s="46"/>
      <c r="F555" s="46"/>
      <c r="G555" s="46"/>
      <c r="H555" s="46"/>
      <c r="I555" s="47"/>
    </row>
    <row r="556" spans="2:9" ht="19.899999999999999" customHeight="1" x14ac:dyDescent="0.25">
      <c r="B556" s="23"/>
      <c r="C556" s="2" t="s">
        <v>580</v>
      </c>
      <c r="D556" s="45" t="s">
        <v>581</v>
      </c>
      <c r="E556" s="46"/>
      <c r="F556" s="46"/>
      <c r="G556" s="46"/>
      <c r="H556" s="46"/>
      <c r="I556" s="47"/>
    </row>
    <row r="557" spans="2:9" ht="19.899999999999999" customHeight="1" x14ac:dyDescent="0.25">
      <c r="B557" s="23"/>
      <c r="C557" s="2" t="s">
        <v>582</v>
      </c>
      <c r="D557" s="45" t="s">
        <v>583</v>
      </c>
      <c r="E557" s="46"/>
      <c r="F557" s="46"/>
      <c r="G557" s="46"/>
      <c r="H557" s="46"/>
      <c r="I557" s="47"/>
    </row>
    <row r="558" spans="2:9" ht="19.899999999999999" customHeight="1" x14ac:dyDescent="0.25">
      <c r="B558" s="23"/>
      <c r="C558" s="2" t="s">
        <v>524</v>
      </c>
      <c r="D558" s="45" t="s">
        <v>525</v>
      </c>
      <c r="E558" s="46"/>
      <c r="F558" s="46"/>
      <c r="G558" s="46"/>
      <c r="H558" s="46"/>
      <c r="I558" s="47"/>
    </row>
    <row r="559" spans="2:9" ht="19.899999999999999" customHeight="1" x14ac:dyDescent="0.25">
      <c r="B559" s="23"/>
      <c r="C559" s="2" t="s">
        <v>573</v>
      </c>
      <c r="D559" s="45" t="s">
        <v>574</v>
      </c>
      <c r="E559" s="46"/>
      <c r="F559" s="46"/>
      <c r="G559" s="46"/>
      <c r="H559" s="46"/>
      <c r="I559" s="47"/>
    </row>
    <row r="560" spans="2:9" x14ac:dyDescent="0.25">
      <c r="B560" s="23"/>
      <c r="I560" s="26"/>
    </row>
    <row r="561" spans="2:9" x14ac:dyDescent="0.25">
      <c r="B561" s="23"/>
      <c r="C561" s="55" t="s">
        <v>60</v>
      </c>
      <c r="D561" s="46"/>
      <c r="E561" s="46"/>
      <c r="F561" s="46"/>
      <c r="G561" s="46"/>
      <c r="H561" s="46"/>
      <c r="I561" s="47"/>
    </row>
    <row r="562" spans="2:9" x14ac:dyDescent="0.25">
      <c r="B562" s="23"/>
      <c r="I562" s="26"/>
    </row>
    <row r="563" spans="2:9" ht="63.4" customHeight="1" x14ac:dyDescent="0.25">
      <c r="B563" s="24" t="s">
        <v>534</v>
      </c>
      <c r="C563" s="18" t="s">
        <v>468</v>
      </c>
      <c r="D563" s="52" t="s">
        <v>584</v>
      </c>
      <c r="E563" s="53"/>
      <c r="F563" s="53"/>
      <c r="G563" s="53"/>
      <c r="H563" s="53"/>
      <c r="I563" s="54"/>
    </row>
    <row r="564" spans="2:9" ht="19.899999999999999" customHeight="1" x14ac:dyDescent="0.25">
      <c r="B564" s="23"/>
      <c r="C564" s="2" t="s">
        <v>470</v>
      </c>
      <c r="D564" s="45" t="s">
        <v>471</v>
      </c>
      <c r="E564" s="46"/>
      <c r="F564" s="46"/>
      <c r="G564" s="46"/>
      <c r="H564" s="46"/>
      <c r="I564" s="47"/>
    </row>
    <row r="565" spans="2:9" ht="19.899999999999999" customHeight="1" x14ac:dyDescent="0.25">
      <c r="B565" s="23"/>
      <c r="C565" s="2" t="s">
        <v>514</v>
      </c>
      <c r="D565" s="45" t="s">
        <v>515</v>
      </c>
      <c r="E565" s="46"/>
      <c r="F565" s="46"/>
      <c r="G565" s="46"/>
      <c r="H565" s="46"/>
      <c r="I565" s="47"/>
    </row>
    <row r="566" spans="2:9" ht="19.899999999999999" customHeight="1" x14ac:dyDescent="0.25">
      <c r="B566" s="23"/>
      <c r="C566" s="2" t="s">
        <v>516</v>
      </c>
      <c r="D566" s="45" t="s">
        <v>517</v>
      </c>
      <c r="E566" s="46"/>
      <c r="F566" s="46"/>
      <c r="G566" s="46"/>
      <c r="H566" s="46"/>
      <c r="I566" s="47"/>
    </row>
    <row r="567" spans="2:9" ht="19.899999999999999" customHeight="1" x14ac:dyDescent="0.25">
      <c r="B567" s="23"/>
      <c r="C567" s="2" t="s">
        <v>580</v>
      </c>
      <c r="D567" s="45" t="s">
        <v>581</v>
      </c>
      <c r="E567" s="46"/>
      <c r="F567" s="46"/>
      <c r="G567" s="46"/>
      <c r="H567" s="46"/>
      <c r="I567" s="47"/>
    </row>
    <row r="568" spans="2:9" ht="19.899999999999999" customHeight="1" x14ac:dyDescent="0.25">
      <c r="B568" s="23"/>
      <c r="C568" s="2" t="s">
        <v>524</v>
      </c>
      <c r="D568" s="45" t="s">
        <v>525</v>
      </c>
      <c r="E568" s="46"/>
      <c r="F568" s="46"/>
      <c r="G568" s="46"/>
      <c r="H568" s="46"/>
      <c r="I568" s="47"/>
    </row>
    <row r="569" spans="2:9" ht="19.899999999999999" customHeight="1" x14ac:dyDescent="0.25">
      <c r="B569" s="23"/>
      <c r="C569" s="2" t="s">
        <v>573</v>
      </c>
      <c r="D569" s="45" t="s">
        <v>574</v>
      </c>
      <c r="E569" s="46"/>
      <c r="F569" s="46"/>
      <c r="G569" s="46"/>
      <c r="H569" s="46"/>
      <c r="I569" s="47"/>
    </row>
    <row r="570" spans="2:9" x14ac:dyDescent="0.25">
      <c r="B570" s="23"/>
      <c r="I570" s="26"/>
    </row>
    <row r="571" spans="2:9" x14ac:dyDescent="0.25">
      <c r="B571" s="23"/>
      <c r="C571" s="55" t="s">
        <v>60</v>
      </c>
      <c r="D571" s="46"/>
      <c r="E571" s="46"/>
      <c r="F571" s="46"/>
      <c r="G571" s="46"/>
      <c r="H571" s="46"/>
      <c r="I571" s="47"/>
    </row>
    <row r="572" spans="2:9" x14ac:dyDescent="0.25">
      <c r="B572" s="25"/>
      <c r="C572" s="21"/>
      <c r="D572" s="21"/>
      <c r="E572" s="21"/>
      <c r="F572" s="21"/>
      <c r="G572" s="21"/>
      <c r="H572" s="21"/>
      <c r="I572" s="27"/>
    </row>
    <row r="574" spans="2:9" x14ac:dyDescent="0.25">
      <c r="B574" s="3" t="s">
        <v>79</v>
      </c>
    </row>
    <row r="575" spans="2:9" ht="19.899999999999999" customHeight="1" x14ac:dyDescent="0.25">
      <c r="B575" s="28" t="s">
        <v>585</v>
      </c>
      <c r="C575" s="56" t="s">
        <v>586</v>
      </c>
      <c r="D575" s="57"/>
      <c r="E575" s="57"/>
      <c r="F575" s="57"/>
      <c r="G575" s="57"/>
      <c r="H575" s="57"/>
      <c r="I575" s="58"/>
    </row>
    <row r="577" spans="1:9" x14ac:dyDescent="0.25">
      <c r="B577" s="3" t="s">
        <v>82</v>
      </c>
    </row>
    <row r="578" spans="1:9" ht="19.899999999999999" customHeight="1" x14ac:dyDescent="0.25">
      <c r="B578" s="29" t="s">
        <v>587</v>
      </c>
      <c r="C578" s="42" t="s">
        <v>588</v>
      </c>
      <c r="D578" s="43"/>
      <c r="E578" s="43"/>
      <c r="F578" s="43"/>
      <c r="G578" s="43"/>
      <c r="H578" s="43"/>
      <c r="I578" s="44"/>
    </row>
    <row r="579" spans="1:9" ht="19.899999999999999" customHeight="1" x14ac:dyDescent="0.25">
      <c r="B579" s="30" t="s">
        <v>589</v>
      </c>
      <c r="C579" s="52" t="s">
        <v>590</v>
      </c>
      <c r="D579" s="53"/>
      <c r="E579" s="46"/>
      <c r="F579" s="46"/>
      <c r="G579" s="46"/>
      <c r="H579" s="46"/>
      <c r="I579" s="47"/>
    </row>
    <row r="580" spans="1:9" ht="19.899999999999999" customHeight="1" x14ac:dyDescent="0.25">
      <c r="B580" s="30" t="s">
        <v>591</v>
      </c>
      <c r="C580" s="52" t="s">
        <v>592</v>
      </c>
      <c r="D580" s="53"/>
      <c r="E580" s="46"/>
      <c r="F580" s="46"/>
      <c r="G580" s="46"/>
      <c r="H580" s="46"/>
      <c r="I580" s="47"/>
    </row>
    <row r="581" spans="1:9" ht="19.899999999999999" customHeight="1" x14ac:dyDescent="0.25">
      <c r="B581" s="30" t="s">
        <v>593</v>
      </c>
      <c r="C581" s="52" t="s">
        <v>594</v>
      </c>
      <c r="D581" s="53"/>
      <c r="E581" s="46"/>
      <c r="F581" s="46"/>
      <c r="G581" s="46"/>
      <c r="H581" s="46"/>
      <c r="I581" s="47"/>
    </row>
    <row r="582" spans="1:9" ht="19.899999999999999" customHeight="1" x14ac:dyDescent="0.25">
      <c r="B582" s="30" t="s">
        <v>595</v>
      </c>
      <c r="C582" s="52" t="s">
        <v>596</v>
      </c>
      <c r="D582" s="53"/>
      <c r="E582" s="46"/>
      <c r="F582" s="46"/>
      <c r="G582" s="46"/>
      <c r="H582" s="46"/>
      <c r="I582" s="47"/>
    </row>
    <row r="583" spans="1:9" ht="19.899999999999999" customHeight="1" x14ac:dyDescent="0.25">
      <c r="B583" s="30" t="s">
        <v>597</v>
      </c>
      <c r="C583" s="52" t="s">
        <v>598</v>
      </c>
      <c r="D583" s="53"/>
      <c r="E583" s="46"/>
      <c r="F583" s="46"/>
      <c r="G583" s="46"/>
      <c r="H583" s="46"/>
      <c r="I583" s="47"/>
    </row>
    <row r="584" spans="1:9" ht="19.899999999999999" customHeight="1" x14ac:dyDescent="0.25">
      <c r="B584" s="30" t="s">
        <v>599</v>
      </c>
      <c r="C584" s="52" t="s">
        <v>600</v>
      </c>
      <c r="D584" s="53"/>
      <c r="E584" s="46"/>
      <c r="F584" s="46"/>
      <c r="G584" s="46"/>
      <c r="H584" s="46"/>
      <c r="I584" s="47"/>
    </row>
    <row r="585" spans="1:9" ht="19.899999999999999" customHeight="1" x14ac:dyDescent="0.25">
      <c r="B585" s="30" t="s">
        <v>601</v>
      </c>
      <c r="C585" s="52" t="s">
        <v>602</v>
      </c>
      <c r="D585" s="53"/>
      <c r="E585" s="46"/>
      <c r="F585" s="46"/>
      <c r="G585" s="46"/>
      <c r="H585" s="46"/>
      <c r="I585" s="47"/>
    </row>
    <row r="586" spans="1:9" ht="19.899999999999999" customHeight="1" x14ac:dyDescent="0.25">
      <c r="B586" s="30" t="s">
        <v>603</v>
      </c>
      <c r="C586" s="52" t="s">
        <v>604</v>
      </c>
      <c r="D586" s="53"/>
      <c r="E586" s="46"/>
      <c r="F586" s="46"/>
      <c r="G586" s="46"/>
      <c r="H586" s="46"/>
      <c r="I586" s="47"/>
    </row>
    <row r="587" spans="1:9" ht="19.899999999999999" customHeight="1" x14ac:dyDescent="0.25">
      <c r="B587" s="31" t="s">
        <v>605</v>
      </c>
      <c r="C587" s="59" t="s">
        <v>606</v>
      </c>
      <c r="D587" s="60"/>
      <c r="E587" s="49"/>
      <c r="F587" s="49"/>
      <c r="G587" s="49"/>
      <c r="H587" s="49"/>
      <c r="I587" s="50"/>
    </row>
    <row r="591" spans="1:9" ht="48.95" customHeight="1" x14ac:dyDescent="0.25">
      <c r="A591" s="45" t="s">
        <v>9</v>
      </c>
      <c r="B591" s="46"/>
      <c r="C591" s="46"/>
      <c r="D591" s="46"/>
      <c r="E591" s="46"/>
      <c r="F591" s="46"/>
      <c r="G591" s="46"/>
      <c r="H591" s="46"/>
      <c r="I591" s="46"/>
    </row>
    <row r="592" spans="1:9" ht="18.75" x14ac:dyDescent="0.25">
      <c r="A592" s="16" t="s">
        <v>607</v>
      </c>
      <c r="B592" s="3" t="s">
        <v>47</v>
      </c>
    </row>
    <row r="593" spans="2:9" ht="19.899999999999999" customHeight="1" x14ac:dyDescent="0.25">
      <c r="B593" s="61" t="s">
        <v>608</v>
      </c>
      <c r="C593" s="62"/>
      <c r="D593" s="62"/>
      <c r="E593" s="62"/>
      <c r="F593" s="62"/>
      <c r="G593" s="62"/>
      <c r="H593" s="62"/>
      <c r="I593" s="63"/>
    </row>
    <row r="594" spans="2:9" ht="19.899999999999999" customHeight="1" x14ac:dyDescent="0.25">
      <c r="B594" s="35" t="s">
        <v>609</v>
      </c>
      <c r="C594" s="33" t="s">
        <v>220</v>
      </c>
      <c r="D594" s="45" t="s">
        <v>610</v>
      </c>
      <c r="E594" s="46"/>
      <c r="F594" s="46"/>
      <c r="G594" s="46"/>
      <c r="H594" s="46"/>
      <c r="I594" s="47"/>
    </row>
    <row r="595" spans="2:9" x14ac:dyDescent="0.25">
      <c r="B595" s="23"/>
      <c r="C595" s="2" t="s">
        <v>222</v>
      </c>
      <c r="I595" s="26"/>
    </row>
    <row r="596" spans="2:9" x14ac:dyDescent="0.25">
      <c r="B596" s="23"/>
      <c r="I596" s="26"/>
    </row>
    <row r="597" spans="2:9" x14ac:dyDescent="0.25">
      <c r="B597" s="23"/>
      <c r="C597" s="51" t="s">
        <v>55</v>
      </c>
      <c r="D597" s="46"/>
      <c r="E597" s="46"/>
      <c r="F597" s="46"/>
      <c r="G597" s="46"/>
      <c r="H597" s="46"/>
      <c r="I597" s="47"/>
    </row>
    <row r="598" spans="2:9" x14ac:dyDescent="0.25">
      <c r="B598" s="23"/>
      <c r="I598" s="26"/>
    </row>
    <row r="599" spans="2:9" ht="19.899999999999999" customHeight="1" x14ac:dyDescent="0.25">
      <c r="B599" s="24" t="s">
        <v>611</v>
      </c>
      <c r="C599" s="19" t="s">
        <v>220</v>
      </c>
      <c r="D599" s="52" t="s">
        <v>612</v>
      </c>
      <c r="E599" s="53"/>
      <c r="F599" s="53"/>
      <c r="G599" s="53"/>
      <c r="H599" s="53"/>
      <c r="I599" s="54"/>
    </row>
    <row r="600" spans="2:9" x14ac:dyDescent="0.25">
      <c r="B600" s="23"/>
      <c r="C600" s="2" t="s">
        <v>222</v>
      </c>
      <c r="I600" s="26"/>
    </row>
    <row r="601" spans="2:9" x14ac:dyDescent="0.25">
      <c r="B601" s="23"/>
      <c r="I601" s="26"/>
    </row>
    <row r="602" spans="2:9" x14ac:dyDescent="0.25">
      <c r="B602" s="23"/>
      <c r="C602" s="51" t="s">
        <v>55</v>
      </c>
      <c r="D602" s="46"/>
      <c r="E602" s="46"/>
      <c r="F602" s="46"/>
      <c r="G602" s="46"/>
      <c r="H602" s="46"/>
      <c r="I602" s="47"/>
    </row>
    <row r="603" spans="2:9" x14ac:dyDescent="0.25">
      <c r="B603" s="23"/>
      <c r="I603" s="26"/>
    </row>
    <row r="604" spans="2:9" ht="19.899999999999999" customHeight="1" x14ac:dyDescent="0.25">
      <c r="B604" s="24" t="s">
        <v>613</v>
      </c>
      <c r="C604" s="19" t="s">
        <v>220</v>
      </c>
      <c r="D604" s="52" t="s">
        <v>614</v>
      </c>
      <c r="E604" s="53"/>
      <c r="F604" s="53"/>
      <c r="G604" s="53"/>
      <c r="H604" s="53"/>
      <c r="I604" s="54"/>
    </row>
    <row r="605" spans="2:9" x14ac:dyDescent="0.25">
      <c r="B605" s="23"/>
      <c r="C605" s="2" t="s">
        <v>222</v>
      </c>
      <c r="I605" s="26"/>
    </row>
    <row r="606" spans="2:9" x14ac:dyDescent="0.25">
      <c r="B606" s="23"/>
      <c r="I606" s="26"/>
    </row>
    <row r="607" spans="2:9" x14ac:dyDescent="0.25">
      <c r="B607" s="23"/>
      <c r="C607" s="51" t="s">
        <v>55</v>
      </c>
      <c r="D607" s="46"/>
      <c r="E607" s="46"/>
      <c r="F607" s="46"/>
      <c r="G607" s="46"/>
      <c r="H607" s="46"/>
      <c r="I607" s="47"/>
    </row>
    <row r="608" spans="2:9" x14ac:dyDescent="0.25">
      <c r="B608" s="23"/>
      <c r="I608" s="26"/>
    </row>
    <row r="609" spans="2:9" ht="19.899999999999999" customHeight="1" x14ac:dyDescent="0.25">
      <c r="B609" s="24" t="s">
        <v>615</v>
      </c>
      <c r="C609" s="19" t="s">
        <v>220</v>
      </c>
      <c r="D609" s="52" t="s">
        <v>616</v>
      </c>
      <c r="E609" s="53"/>
      <c r="F609" s="53"/>
      <c r="G609" s="53"/>
      <c r="H609" s="53"/>
      <c r="I609" s="54"/>
    </row>
    <row r="610" spans="2:9" x14ac:dyDescent="0.25">
      <c r="B610" s="23"/>
      <c r="C610" s="2" t="s">
        <v>222</v>
      </c>
      <c r="I610" s="26"/>
    </row>
    <row r="611" spans="2:9" x14ac:dyDescent="0.25">
      <c r="B611" s="23"/>
      <c r="I611" s="26"/>
    </row>
    <row r="612" spans="2:9" x14ac:dyDescent="0.25">
      <c r="B612" s="23"/>
      <c r="C612" s="51" t="s">
        <v>55</v>
      </c>
      <c r="D612" s="46"/>
      <c r="E612" s="46"/>
      <c r="F612" s="46"/>
      <c r="G612" s="46"/>
      <c r="H612" s="46"/>
      <c r="I612" s="47"/>
    </row>
    <row r="613" spans="2:9" x14ac:dyDescent="0.25">
      <c r="B613" s="23"/>
      <c r="I613" s="26"/>
    </row>
    <row r="614" spans="2:9" ht="19.899999999999999" customHeight="1" x14ac:dyDescent="0.25">
      <c r="B614" s="24" t="s">
        <v>617</v>
      </c>
      <c r="C614" s="19" t="s">
        <v>220</v>
      </c>
      <c r="D614" s="52" t="s">
        <v>618</v>
      </c>
      <c r="E614" s="53"/>
      <c r="F614" s="53"/>
      <c r="G614" s="53"/>
      <c r="H614" s="53"/>
      <c r="I614" s="54"/>
    </row>
    <row r="615" spans="2:9" x14ac:dyDescent="0.25">
      <c r="B615" s="23"/>
      <c r="C615" s="2" t="s">
        <v>222</v>
      </c>
      <c r="I615" s="26"/>
    </row>
    <row r="616" spans="2:9" x14ac:dyDescent="0.25">
      <c r="B616" s="23"/>
      <c r="I616" s="26"/>
    </row>
    <row r="617" spans="2:9" x14ac:dyDescent="0.25">
      <c r="B617" s="23"/>
      <c r="C617" s="51" t="s">
        <v>55</v>
      </c>
      <c r="D617" s="46"/>
      <c r="E617" s="46"/>
      <c r="F617" s="46"/>
      <c r="G617" s="46"/>
      <c r="H617" s="46"/>
      <c r="I617" s="47"/>
    </row>
    <row r="618" spans="2:9" x14ac:dyDescent="0.25">
      <c r="B618" s="23"/>
      <c r="I618" s="26"/>
    </row>
    <row r="619" spans="2:9" ht="19.899999999999999" customHeight="1" x14ac:dyDescent="0.25">
      <c r="B619" s="24" t="s">
        <v>619</v>
      </c>
      <c r="C619" s="19" t="s">
        <v>220</v>
      </c>
      <c r="D619" s="52" t="s">
        <v>620</v>
      </c>
      <c r="E619" s="53"/>
      <c r="F619" s="53"/>
      <c r="G619" s="53"/>
      <c r="H619" s="53"/>
      <c r="I619" s="54"/>
    </row>
    <row r="620" spans="2:9" x14ac:dyDescent="0.25">
      <c r="B620" s="23"/>
      <c r="C620" s="2" t="s">
        <v>222</v>
      </c>
      <c r="I620" s="26"/>
    </row>
    <row r="621" spans="2:9" x14ac:dyDescent="0.25">
      <c r="B621" s="23"/>
      <c r="I621" s="26"/>
    </row>
    <row r="622" spans="2:9" x14ac:dyDescent="0.25">
      <c r="B622" s="23"/>
      <c r="C622" s="51" t="s">
        <v>55</v>
      </c>
      <c r="D622" s="46"/>
      <c r="E622" s="46"/>
      <c r="F622" s="46"/>
      <c r="G622" s="46"/>
      <c r="H622" s="46"/>
      <c r="I622" s="47"/>
    </row>
    <row r="623" spans="2:9" x14ac:dyDescent="0.25">
      <c r="B623" s="23"/>
      <c r="I623" s="26"/>
    </row>
    <row r="624" spans="2:9" ht="19.899999999999999" customHeight="1" x14ac:dyDescent="0.25">
      <c r="B624" s="24" t="s">
        <v>621</v>
      </c>
      <c r="C624" s="19" t="s">
        <v>182</v>
      </c>
      <c r="D624" s="52" t="s">
        <v>622</v>
      </c>
      <c r="E624" s="53"/>
      <c r="F624" s="53"/>
      <c r="G624" s="53"/>
      <c r="H624" s="53"/>
      <c r="I624" s="54"/>
    </row>
    <row r="625" spans="2:9" x14ac:dyDescent="0.25">
      <c r="B625" s="23"/>
      <c r="C625" s="2" t="s">
        <v>623</v>
      </c>
      <c r="I625" s="26"/>
    </row>
    <row r="626" spans="2:9" x14ac:dyDescent="0.25">
      <c r="B626" s="23"/>
      <c r="I626" s="26"/>
    </row>
    <row r="627" spans="2:9" x14ac:dyDescent="0.25">
      <c r="B627" s="23"/>
      <c r="C627" s="51" t="s">
        <v>55</v>
      </c>
      <c r="D627" s="46"/>
      <c r="E627" s="46"/>
      <c r="F627" s="46"/>
      <c r="G627" s="46"/>
      <c r="H627" s="46"/>
      <c r="I627" s="47"/>
    </row>
    <row r="628" spans="2:9" x14ac:dyDescent="0.25">
      <c r="B628" s="23"/>
      <c r="I628" s="26"/>
    </row>
    <row r="629" spans="2:9" ht="19.899999999999999" customHeight="1" x14ac:dyDescent="0.25">
      <c r="B629" s="24" t="s">
        <v>624</v>
      </c>
      <c r="C629" s="18" t="s">
        <v>49</v>
      </c>
      <c r="D629" s="52" t="s">
        <v>625</v>
      </c>
      <c r="E629" s="53"/>
      <c r="F629" s="53"/>
      <c r="G629" s="53"/>
      <c r="H629" s="53"/>
      <c r="I629" s="54"/>
    </row>
    <row r="630" spans="2:9" ht="19.899999999999999" customHeight="1" x14ac:dyDescent="0.25">
      <c r="B630" s="23"/>
      <c r="C630" s="2" t="s">
        <v>243</v>
      </c>
      <c r="D630" s="45" t="s">
        <v>244</v>
      </c>
      <c r="E630" s="46"/>
      <c r="F630" s="46"/>
      <c r="G630" s="46"/>
      <c r="H630" s="46"/>
      <c r="I630" s="47"/>
    </row>
    <row r="631" spans="2:9" ht="19.899999999999999" customHeight="1" x14ac:dyDescent="0.25">
      <c r="B631" s="23"/>
      <c r="C631" s="2" t="s">
        <v>249</v>
      </c>
      <c r="D631" s="45" t="s">
        <v>626</v>
      </c>
      <c r="E631" s="46"/>
      <c r="F631" s="46"/>
      <c r="G631" s="46"/>
      <c r="H631" s="46"/>
      <c r="I631" s="47"/>
    </row>
    <row r="632" spans="2:9" ht="19.899999999999999" customHeight="1" x14ac:dyDescent="0.25">
      <c r="B632" s="23"/>
      <c r="C632" s="2" t="s">
        <v>627</v>
      </c>
      <c r="D632" s="45" t="s">
        <v>628</v>
      </c>
      <c r="E632" s="46"/>
      <c r="F632" s="46"/>
      <c r="G632" s="46"/>
      <c r="H632" s="46"/>
      <c r="I632" s="47"/>
    </row>
    <row r="633" spans="2:9" ht="19.899999999999999" customHeight="1" x14ac:dyDescent="0.25">
      <c r="B633" s="23"/>
      <c r="C633" s="2" t="s">
        <v>247</v>
      </c>
      <c r="D633" s="45" t="s">
        <v>248</v>
      </c>
      <c r="E633" s="46"/>
      <c r="F633" s="46"/>
      <c r="G633" s="46"/>
      <c r="H633" s="46"/>
      <c r="I633" s="47"/>
    </row>
    <row r="634" spans="2:9" ht="19.899999999999999" customHeight="1" x14ac:dyDescent="0.25">
      <c r="B634" s="23"/>
      <c r="C634" s="2" t="s">
        <v>629</v>
      </c>
      <c r="D634" s="45" t="s">
        <v>630</v>
      </c>
      <c r="E634" s="46"/>
      <c r="F634" s="46"/>
      <c r="G634" s="46"/>
      <c r="H634" s="46"/>
      <c r="I634" s="47"/>
    </row>
    <row r="635" spans="2:9" ht="19.899999999999999" customHeight="1" x14ac:dyDescent="0.25">
      <c r="B635" s="23"/>
      <c r="C635" s="2" t="s">
        <v>631</v>
      </c>
      <c r="D635" s="45" t="s">
        <v>632</v>
      </c>
      <c r="E635" s="46"/>
      <c r="F635" s="46"/>
      <c r="G635" s="46"/>
      <c r="H635" s="46"/>
      <c r="I635" s="47"/>
    </row>
    <row r="636" spans="2:9" x14ac:dyDescent="0.25">
      <c r="B636" s="23"/>
      <c r="I636" s="26"/>
    </row>
    <row r="637" spans="2:9" x14ac:dyDescent="0.25">
      <c r="B637" s="23"/>
      <c r="C637" s="51" t="s">
        <v>55</v>
      </c>
      <c r="D637" s="46"/>
      <c r="E637" s="46"/>
      <c r="F637" s="46"/>
      <c r="G637" s="46"/>
      <c r="H637" s="46"/>
      <c r="I637" s="47"/>
    </row>
    <row r="638" spans="2:9" x14ac:dyDescent="0.25">
      <c r="B638" s="23"/>
      <c r="I638" s="26"/>
    </row>
    <row r="639" spans="2:9" ht="19.899999999999999" customHeight="1" x14ac:dyDescent="0.25">
      <c r="B639" s="24" t="s">
        <v>633</v>
      </c>
      <c r="C639" s="18" t="s">
        <v>49</v>
      </c>
      <c r="D639" s="52" t="s">
        <v>634</v>
      </c>
      <c r="E639" s="53"/>
      <c r="F639" s="53"/>
      <c r="G639" s="53"/>
      <c r="H639" s="53"/>
      <c r="I639" s="54"/>
    </row>
    <row r="640" spans="2:9" ht="19.899999999999999" customHeight="1" x14ac:dyDescent="0.25">
      <c r="B640" s="23"/>
      <c r="C640" s="2" t="s">
        <v>289</v>
      </c>
      <c r="D640" s="45" t="s">
        <v>635</v>
      </c>
      <c r="E640" s="46"/>
      <c r="F640" s="46"/>
      <c r="G640" s="46"/>
      <c r="H640" s="46"/>
      <c r="I640" s="47"/>
    </row>
    <row r="641" spans="2:9" ht="19.899999999999999" customHeight="1" x14ac:dyDescent="0.25">
      <c r="B641" s="23"/>
      <c r="C641" s="2" t="s">
        <v>636</v>
      </c>
      <c r="D641" s="45" t="s">
        <v>637</v>
      </c>
      <c r="E641" s="46"/>
      <c r="F641" s="46"/>
      <c r="G641" s="46"/>
      <c r="H641" s="46"/>
      <c r="I641" s="47"/>
    </row>
    <row r="642" spans="2:9" x14ac:dyDescent="0.25">
      <c r="B642" s="23"/>
      <c r="I642" s="26"/>
    </row>
    <row r="643" spans="2:9" x14ac:dyDescent="0.25">
      <c r="B643" s="23"/>
      <c r="C643" s="51" t="s">
        <v>55</v>
      </c>
      <c r="D643" s="46"/>
      <c r="E643" s="46"/>
      <c r="F643" s="46"/>
      <c r="G643" s="46"/>
      <c r="H643" s="46"/>
      <c r="I643" s="47"/>
    </row>
    <row r="644" spans="2:9" x14ac:dyDescent="0.25">
      <c r="B644" s="23"/>
      <c r="I644" s="26"/>
    </row>
    <row r="645" spans="2:9" ht="48.95" customHeight="1" x14ac:dyDescent="0.25">
      <c r="B645" s="24" t="s">
        <v>638</v>
      </c>
      <c r="C645" s="18" t="s">
        <v>49</v>
      </c>
      <c r="D645" s="52" t="s">
        <v>639</v>
      </c>
      <c r="E645" s="53"/>
      <c r="F645" s="53"/>
      <c r="G645" s="53"/>
      <c r="H645" s="53"/>
      <c r="I645" s="54"/>
    </row>
    <row r="646" spans="2:9" ht="19.899999999999999" customHeight="1" x14ac:dyDescent="0.25">
      <c r="B646" s="23"/>
      <c r="C646" s="2" t="s">
        <v>470</v>
      </c>
      <c r="D646" s="45" t="s">
        <v>290</v>
      </c>
      <c r="E646" s="46"/>
      <c r="F646" s="46"/>
      <c r="G646" s="46"/>
      <c r="H646" s="46"/>
      <c r="I646" s="47"/>
    </row>
    <row r="647" spans="2:9" ht="34.35" customHeight="1" x14ac:dyDescent="0.25">
      <c r="B647" s="23"/>
      <c r="C647" s="2" t="s">
        <v>640</v>
      </c>
      <c r="D647" s="45" t="s">
        <v>641</v>
      </c>
      <c r="E647" s="46"/>
      <c r="F647" s="46"/>
      <c r="G647" s="46"/>
      <c r="H647" s="46"/>
      <c r="I647" s="47"/>
    </row>
    <row r="648" spans="2:9" ht="19.899999999999999" customHeight="1" x14ac:dyDescent="0.25">
      <c r="B648" s="23"/>
      <c r="C648" s="2" t="s">
        <v>642</v>
      </c>
      <c r="D648" s="45" t="s">
        <v>643</v>
      </c>
      <c r="E648" s="46"/>
      <c r="F648" s="46"/>
      <c r="G648" s="46"/>
      <c r="H648" s="46"/>
      <c r="I648" s="47"/>
    </row>
    <row r="649" spans="2:9" ht="19.899999999999999" customHeight="1" x14ac:dyDescent="0.25">
      <c r="B649" s="23"/>
      <c r="C649" s="2" t="s">
        <v>644</v>
      </c>
      <c r="D649" s="45" t="s">
        <v>645</v>
      </c>
      <c r="E649" s="46"/>
      <c r="F649" s="46"/>
      <c r="G649" s="46"/>
      <c r="H649" s="46"/>
      <c r="I649" s="47"/>
    </row>
    <row r="650" spans="2:9" ht="19.899999999999999" customHeight="1" x14ac:dyDescent="0.25">
      <c r="B650" s="23"/>
      <c r="C650" s="2" t="s">
        <v>646</v>
      </c>
      <c r="D650" s="45" t="s">
        <v>647</v>
      </c>
      <c r="E650" s="46"/>
      <c r="F650" s="46"/>
      <c r="G650" s="46"/>
      <c r="H650" s="46"/>
      <c r="I650" s="47"/>
    </row>
    <row r="651" spans="2:9" ht="19.899999999999999" customHeight="1" x14ac:dyDescent="0.25">
      <c r="B651" s="23"/>
      <c r="C651" s="2" t="s">
        <v>355</v>
      </c>
      <c r="D651" s="45" t="s">
        <v>648</v>
      </c>
      <c r="E651" s="46"/>
      <c r="F651" s="46"/>
      <c r="G651" s="46"/>
      <c r="H651" s="46"/>
      <c r="I651" s="47"/>
    </row>
    <row r="652" spans="2:9" ht="19.899999999999999" customHeight="1" x14ac:dyDescent="0.25">
      <c r="B652" s="23"/>
      <c r="C652" s="2" t="s">
        <v>233</v>
      </c>
      <c r="D652" s="45" t="s">
        <v>649</v>
      </c>
      <c r="E652" s="46"/>
      <c r="F652" s="46"/>
      <c r="G652" s="46"/>
      <c r="H652" s="46"/>
      <c r="I652" s="47"/>
    </row>
    <row r="653" spans="2:9" x14ac:dyDescent="0.25">
      <c r="B653" s="23"/>
      <c r="I653" s="26"/>
    </row>
    <row r="654" spans="2:9" x14ac:dyDescent="0.25">
      <c r="B654" s="23"/>
      <c r="C654" s="55" t="s">
        <v>60</v>
      </c>
      <c r="D654" s="46"/>
      <c r="E654" s="46"/>
      <c r="F654" s="46"/>
      <c r="G654" s="46"/>
      <c r="H654" s="46"/>
      <c r="I654" s="47"/>
    </row>
    <row r="655" spans="2:9" x14ac:dyDescent="0.25">
      <c r="B655" s="23"/>
      <c r="I655" s="26"/>
    </row>
    <row r="656" spans="2:9" ht="19.899999999999999" customHeight="1" x14ac:dyDescent="0.25">
      <c r="B656" s="24" t="s">
        <v>650</v>
      </c>
      <c r="C656" s="19" t="s">
        <v>220</v>
      </c>
      <c r="D656" s="52" t="s">
        <v>651</v>
      </c>
      <c r="E656" s="53"/>
      <c r="F656" s="53"/>
      <c r="G656" s="53"/>
      <c r="H656" s="53"/>
      <c r="I656" s="54"/>
    </row>
    <row r="657" spans="2:9" x14ac:dyDescent="0.25">
      <c r="B657" s="23"/>
      <c r="C657" s="2" t="s">
        <v>222</v>
      </c>
      <c r="I657" s="26"/>
    </row>
    <row r="658" spans="2:9" x14ac:dyDescent="0.25">
      <c r="B658" s="23"/>
      <c r="I658" s="26"/>
    </row>
    <row r="659" spans="2:9" x14ac:dyDescent="0.25">
      <c r="B659" s="23"/>
      <c r="C659" s="51" t="s">
        <v>55</v>
      </c>
      <c r="D659" s="46"/>
      <c r="E659" s="46"/>
      <c r="F659" s="46"/>
      <c r="G659" s="46"/>
      <c r="H659" s="46"/>
      <c r="I659" s="47"/>
    </row>
    <row r="660" spans="2:9" x14ac:dyDescent="0.25">
      <c r="B660" s="23"/>
      <c r="I660" s="26"/>
    </row>
    <row r="661" spans="2:9" ht="19.899999999999999" customHeight="1" x14ac:dyDescent="0.25">
      <c r="B661" s="24" t="s">
        <v>652</v>
      </c>
      <c r="C661" s="19" t="s">
        <v>220</v>
      </c>
      <c r="D661" s="52" t="s">
        <v>653</v>
      </c>
      <c r="E661" s="53"/>
      <c r="F661" s="53"/>
      <c r="G661" s="53"/>
      <c r="H661" s="53"/>
      <c r="I661" s="54"/>
    </row>
    <row r="662" spans="2:9" x14ac:dyDescent="0.25">
      <c r="B662" s="23"/>
      <c r="C662" s="2" t="s">
        <v>222</v>
      </c>
      <c r="I662" s="26"/>
    </row>
    <row r="663" spans="2:9" x14ac:dyDescent="0.25">
      <c r="B663" s="23"/>
      <c r="I663" s="26"/>
    </row>
    <row r="664" spans="2:9" x14ac:dyDescent="0.25">
      <c r="B664" s="23"/>
      <c r="C664" s="51" t="s">
        <v>55</v>
      </c>
      <c r="D664" s="46"/>
      <c r="E664" s="46"/>
      <c r="F664" s="46"/>
      <c r="G664" s="46"/>
      <c r="H664" s="46"/>
      <c r="I664" s="47"/>
    </row>
    <row r="665" spans="2:9" x14ac:dyDescent="0.25">
      <c r="B665" s="23"/>
      <c r="I665" s="26"/>
    </row>
    <row r="666" spans="2:9" ht="19.899999999999999" customHeight="1" x14ac:dyDescent="0.25">
      <c r="B666" s="64" t="s">
        <v>654</v>
      </c>
      <c r="C666" s="65"/>
      <c r="D666" s="65"/>
      <c r="E666" s="65"/>
      <c r="F666" s="65"/>
      <c r="G666" s="65"/>
      <c r="H666" s="65"/>
      <c r="I666" s="66"/>
    </row>
    <row r="667" spans="2:9" ht="19.899999999999999" customHeight="1" x14ac:dyDescent="0.25">
      <c r="B667" s="35" t="s">
        <v>655</v>
      </c>
      <c r="C667" s="34" t="s">
        <v>49</v>
      </c>
      <c r="D667" s="45" t="s">
        <v>656</v>
      </c>
      <c r="E667" s="46"/>
      <c r="F667" s="46"/>
      <c r="G667" s="46"/>
      <c r="H667" s="46"/>
      <c r="I667" s="47"/>
    </row>
    <row r="668" spans="2:9" ht="19.899999999999999" customHeight="1" x14ac:dyDescent="0.25">
      <c r="B668" s="23"/>
      <c r="C668" s="2" t="s">
        <v>657</v>
      </c>
      <c r="D668" s="45" t="s">
        <v>658</v>
      </c>
      <c r="E668" s="46"/>
      <c r="F668" s="46"/>
      <c r="G668" s="46"/>
      <c r="H668" s="46"/>
      <c r="I668" s="47"/>
    </row>
    <row r="669" spans="2:9" ht="19.899999999999999" customHeight="1" x14ac:dyDescent="0.25">
      <c r="B669" s="23"/>
      <c r="C669" s="2" t="s">
        <v>659</v>
      </c>
      <c r="D669" s="45" t="s">
        <v>660</v>
      </c>
      <c r="E669" s="46"/>
      <c r="F669" s="46"/>
      <c r="G669" s="46"/>
      <c r="H669" s="46"/>
      <c r="I669" s="47"/>
    </row>
    <row r="670" spans="2:9" ht="19.899999999999999" customHeight="1" x14ac:dyDescent="0.25">
      <c r="B670" s="23"/>
      <c r="C670" s="2" t="s">
        <v>661</v>
      </c>
      <c r="D670" s="45" t="s">
        <v>662</v>
      </c>
      <c r="E670" s="46"/>
      <c r="F670" s="46"/>
      <c r="G670" s="46"/>
      <c r="H670" s="46"/>
      <c r="I670" s="47"/>
    </row>
    <row r="671" spans="2:9" ht="19.899999999999999" customHeight="1" x14ac:dyDescent="0.25">
      <c r="B671" s="23"/>
      <c r="C671" s="2" t="s">
        <v>663</v>
      </c>
      <c r="D671" s="45" t="s">
        <v>664</v>
      </c>
      <c r="E671" s="46"/>
      <c r="F671" s="46"/>
      <c r="G671" s="46"/>
      <c r="H671" s="46"/>
      <c r="I671" s="47"/>
    </row>
    <row r="672" spans="2:9" x14ac:dyDescent="0.25">
      <c r="B672" s="23"/>
      <c r="I672" s="26"/>
    </row>
    <row r="673" spans="2:9" x14ac:dyDescent="0.25">
      <c r="B673" s="23"/>
      <c r="C673" s="55" t="s">
        <v>60</v>
      </c>
      <c r="D673" s="46"/>
      <c r="E673" s="46"/>
      <c r="F673" s="46"/>
      <c r="G673" s="46"/>
      <c r="H673" s="46"/>
      <c r="I673" s="47"/>
    </row>
    <row r="674" spans="2:9" x14ac:dyDescent="0.25">
      <c r="B674" s="23"/>
      <c r="C674" s="67" t="str">
        <f>HYPERLINK("#'Json-dokumentation'!A3421", "Fotnot: (**)")</f>
        <v>Fotnot: (**)</v>
      </c>
      <c r="D674" s="46"/>
      <c r="E674" s="46"/>
      <c r="F674" s="46"/>
      <c r="G674" s="46"/>
      <c r="H674" s="46"/>
      <c r="I674" s="47"/>
    </row>
    <row r="675" spans="2:9" x14ac:dyDescent="0.25">
      <c r="B675" s="23"/>
      <c r="I675" s="26"/>
    </row>
    <row r="676" spans="2:9" ht="19.899999999999999" customHeight="1" x14ac:dyDescent="0.25">
      <c r="B676" s="24" t="s">
        <v>665</v>
      </c>
      <c r="C676" s="18" t="s">
        <v>49</v>
      </c>
      <c r="D676" s="52" t="s">
        <v>666</v>
      </c>
      <c r="E676" s="53"/>
      <c r="F676" s="53"/>
      <c r="G676" s="53"/>
      <c r="H676" s="53"/>
      <c r="I676" s="54"/>
    </row>
    <row r="677" spans="2:9" ht="19.899999999999999" customHeight="1" x14ac:dyDescent="0.25">
      <c r="B677" s="23"/>
      <c r="C677" s="2" t="s">
        <v>657</v>
      </c>
      <c r="D677" s="45" t="s">
        <v>667</v>
      </c>
      <c r="E677" s="46"/>
      <c r="F677" s="46"/>
      <c r="G677" s="46"/>
      <c r="H677" s="46"/>
      <c r="I677" s="47"/>
    </row>
    <row r="678" spans="2:9" ht="19.899999999999999" customHeight="1" x14ac:dyDescent="0.25">
      <c r="B678" s="23"/>
      <c r="C678" s="2" t="s">
        <v>659</v>
      </c>
      <c r="D678" s="45" t="s">
        <v>668</v>
      </c>
      <c r="E678" s="46"/>
      <c r="F678" s="46"/>
      <c r="G678" s="46"/>
      <c r="H678" s="46"/>
      <c r="I678" s="47"/>
    </row>
    <row r="679" spans="2:9" ht="19.899999999999999" customHeight="1" x14ac:dyDescent="0.25">
      <c r="B679" s="23"/>
      <c r="C679" s="2" t="s">
        <v>661</v>
      </c>
      <c r="D679" s="45" t="s">
        <v>669</v>
      </c>
      <c r="E679" s="46"/>
      <c r="F679" s="46"/>
      <c r="G679" s="46"/>
      <c r="H679" s="46"/>
      <c r="I679" s="47"/>
    </row>
    <row r="680" spans="2:9" ht="19.899999999999999" customHeight="1" x14ac:dyDescent="0.25">
      <c r="B680" s="23"/>
      <c r="C680" s="2" t="s">
        <v>663</v>
      </c>
      <c r="D680" s="45" t="s">
        <v>670</v>
      </c>
      <c r="E680" s="46"/>
      <c r="F680" s="46"/>
      <c r="G680" s="46"/>
      <c r="H680" s="46"/>
      <c r="I680" s="47"/>
    </row>
    <row r="681" spans="2:9" ht="19.899999999999999" customHeight="1" x14ac:dyDescent="0.25">
      <c r="B681" s="23"/>
      <c r="C681" s="2" t="s">
        <v>671</v>
      </c>
      <c r="D681" s="45" t="s">
        <v>672</v>
      </c>
      <c r="E681" s="46"/>
      <c r="F681" s="46"/>
      <c r="G681" s="46"/>
      <c r="H681" s="46"/>
      <c r="I681" s="47"/>
    </row>
    <row r="682" spans="2:9" x14ac:dyDescent="0.25">
      <c r="B682" s="23"/>
      <c r="I682" s="26"/>
    </row>
    <row r="683" spans="2:9" x14ac:dyDescent="0.25">
      <c r="B683" s="23"/>
      <c r="C683" s="55" t="s">
        <v>60</v>
      </c>
      <c r="D683" s="46"/>
      <c r="E683" s="46"/>
      <c r="F683" s="46"/>
      <c r="G683" s="46"/>
      <c r="H683" s="46"/>
      <c r="I683" s="47"/>
    </row>
    <row r="684" spans="2:9" x14ac:dyDescent="0.25">
      <c r="B684" s="23"/>
      <c r="C684" s="67" t="str">
        <f>HYPERLINK("#'Json-dokumentation'!A3421", "Fotnot: (**)")</f>
        <v>Fotnot: (**)</v>
      </c>
      <c r="D684" s="46"/>
      <c r="E684" s="46"/>
      <c r="F684" s="46"/>
      <c r="G684" s="46"/>
      <c r="H684" s="46"/>
      <c r="I684" s="47"/>
    </row>
    <row r="685" spans="2:9" x14ac:dyDescent="0.25">
      <c r="B685" s="23"/>
      <c r="I685" s="26"/>
    </row>
    <row r="686" spans="2:9" ht="19.899999999999999" customHeight="1" x14ac:dyDescent="0.25">
      <c r="B686" s="24" t="s">
        <v>673</v>
      </c>
      <c r="C686" s="18" t="s">
        <v>49</v>
      </c>
      <c r="D686" s="52" t="s">
        <v>674</v>
      </c>
      <c r="E686" s="53"/>
      <c r="F686" s="53"/>
      <c r="G686" s="53"/>
      <c r="H686" s="53"/>
      <c r="I686" s="54"/>
    </row>
    <row r="687" spans="2:9" ht="19.899999999999999" customHeight="1" x14ac:dyDescent="0.25">
      <c r="B687" s="23"/>
      <c r="C687" s="2" t="s">
        <v>657</v>
      </c>
      <c r="D687" s="45" t="s">
        <v>675</v>
      </c>
      <c r="E687" s="46"/>
      <c r="F687" s="46"/>
      <c r="G687" s="46"/>
      <c r="H687" s="46"/>
      <c r="I687" s="47"/>
    </row>
    <row r="688" spans="2:9" ht="19.899999999999999" customHeight="1" x14ac:dyDescent="0.25">
      <c r="B688" s="23"/>
      <c r="C688" s="2" t="s">
        <v>659</v>
      </c>
      <c r="D688" s="45" t="s">
        <v>676</v>
      </c>
      <c r="E688" s="46"/>
      <c r="F688" s="46"/>
      <c r="G688" s="46"/>
      <c r="H688" s="46"/>
      <c r="I688" s="47"/>
    </row>
    <row r="689" spans="2:9" ht="19.899999999999999" customHeight="1" x14ac:dyDescent="0.25">
      <c r="B689" s="23"/>
      <c r="C689" s="2" t="s">
        <v>661</v>
      </c>
      <c r="D689" s="45" t="s">
        <v>677</v>
      </c>
      <c r="E689" s="46"/>
      <c r="F689" s="46"/>
      <c r="G689" s="46"/>
      <c r="H689" s="46"/>
      <c r="I689" s="47"/>
    </row>
    <row r="690" spans="2:9" ht="34.35" customHeight="1" x14ac:dyDescent="0.25">
      <c r="B690" s="23"/>
      <c r="C690" s="2" t="s">
        <v>663</v>
      </c>
      <c r="D690" s="45" t="s">
        <v>678</v>
      </c>
      <c r="E690" s="46"/>
      <c r="F690" s="46"/>
      <c r="G690" s="46"/>
      <c r="H690" s="46"/>
      <c r="I690" s="47"/>
    </row>
    <row r="691" spans="2:9" ht="19.899999999999999" customHeight="1" x14ac:dyDescent="0.25">
      <c r="B691" s="23"/>
      <c r="C691" s="2" t="s">
        <v>671</v>
      </c>
      <c r="D691" s="45" t="s">
        <v>679</v>
      </c>
      <c r="E691" s="46"/>
      <c r="F691" s="46"/>
      <c r="G691" s="46"/>
      <c r="H691" s="46"/>
      <c r="I691" s="47"/>
    </row>
    <row r="692" spans="2:9" ht="19.899999999999999" customHeight="1" x14ac:dyDescent="0.25">
      <c r="B692" s="23"/>
      <c r="C692" s="2" t="s">
        <v>680</v>
      </c>
      <c r="D692" s="45" t="s">
        <v>681</v>
      </c>
      <c r="E692" s="46"/>
      <c r="F692" s="46"/>
      <c r="G692" s="46"/>
      <c r="H692" s="46"/>
      <c r="I692" s="47"/>
    </row>
    <row r="693" spans="2:9" x14ac:dyDescent="0.25">
      <c r="B693" s="23"/>
      <c r="I693" s="26"/>
    </row>
    <row r="694" spans="2:9" x14ac:dyDescent="0.25">
      <c r="B694" s="23"/>
      <c r="C694" s="55" t="s">
        <v>60</v>
      </c>
      <c r="D694" s="46"/>
      <c r="E694" s="46"/>
      <c r="F694" s="46"/>
      <c r="G694" s="46"/>
      <c r="H694" s="46"/>
      <c r="I694" s="47"/>
    </row>
    <row r="695" spans="2:9" x14ac:dyDescent="0.25">
      <c r="B695" s="23"/>
      <c r="C695" s="67" t="str">
        <f>HYPERLINK("#'Json-dokumentation'!A3421", "Fotnot: (**)")</f>
        <v>Fotnot: (**)</v>
      </c>
      <c r="D695" s="46"/>
      <c r="E695" s="46"/>
      <c r="F695" s="46"/>
      <c r="G695" s="46"/>
      <c r="H695" s="46"/>
      <c r="I695" s="47"/>
    </row>
    <row r="696" spans="2:9" x14ac:dyDescent="0.25">
      <c r="B696" s="23"/>
      <c r="I696" s="26"/>
    </row>
    <row r="697" spans="2:9" ht="19.899999999999999" customHeight="1" x14ac:dyDescent="0.25">
      <c r="B697" s="24" t="s">
        <v>682</v>
      </c>
      <c r="C697" s="18" t="s">
        <v>49</v>
      </c>
      <c r="D697" s="52" t="s">
        <v>683</v>
      </c>
      <c r="E697" s="53"/>
      <c r="F697" s="53"/>
      <c r="G697" s="53"/>
      <c r="H697" s="53"/>
      <c r="I697" s="54"/>
    </row>
    <row r="698" spans="2:9" ht="19.899999999999999" customHeight="1" x14ac:dyDescent="0.25">
      <c r="B698" s="23"/>
      <c r="C698" s="2" t="s">
        <v>657</v>
      </c>
      <c r="D698" s="45" t="s">
        <v>684</v>
      </c>
      <c r="E698" s="46"/>
      <c r="F698" s="46"/>
      <c r="G698" s="46"/>
      <c r="H698" s="46"/>
      <c r="I698" s="47"/>
    </row>
    <row r="699" spans="2:9" ht="19.899999999999999" customHeight="1" x14ac:dyDescent="0.25">
      <c r="B699" s="23"/>
      <c r="C699" s="2" t="s">
        <v>659</v>
      </c>
      <c r="D699" s="45" t="s">
        <v>685</v>
      </c>
      <c r="E699" s="46"/>
      <c r="F699" s="46"/>
      <c r="G699" s="46"/>
      <c r="H699" s="46"/>
      <c r="I699" s="47"/>
    </row>
    <row r="700" spans="2:9" ht="19.899999999999999" customHeight="1" x14ac:dyDescent="0.25">
      <c r="B700" s="23"/>
      <c r="C700" s="2" t="s">
        <v>661</v>
      </c>
      <c r="D700" s="45" t="s">
        <v>686</v>
      </c>
      <c r="E700" s="46"/>
      <c r="F700" s="46"/>
      <c r="G700" s="46"/>
      <c r="H700" s="46"/>
      <c r="I700" s="47"/>
    </row>
    <row r="701" spans="2:9" ht="19.899999999999999" customHeight="1" x14ac:dyDescent="0.25">
      <c r="B701" s="23"/>
      <c r="C701" s="2" t="s">
        <v>663</v>
      </c>
      <c r="D701" s="45" t="s">
        <v>687</v>
      </c>
      <c r="E701" s="46"/>
      <c r="F701" s="46"/>
      <c r="G701" s="46"/>
      <c r="H701" s="46"/>
      <c r="I701" s="47"/>
    </row>
    <row r="702" spans="2:9" ht="19.899999999999999" customHeight="1" x14ac:dyDescent="0.25">
      <c r="B702" s="23"/>
      <c r="C702" s="2" t="s">
        <v>671</v>
      </c>
      <c r="D702" s="45" t="s">
        <v>688</v>
      </c>
      <c r="E702" s="46"/>
      <c r="F702" s="46"/>
      <c r="G702" s="46"/>
      <c r="H702" s="46"/>
      <c r="I702" s="47"/>
    </row>
    <row r="703" spans="2:9" ht="19.899999999999999" customHeight="1" x14ac:dyDescent="0.25">
      <c r="B703" s="23"/>
      <c r="C703" s="2" t="s">
        <v>680</v>
      </c>
      <c r="D703" s="45" t="s">
        <v>689</v>
      </c>
      <c r="E703" s="46"/>
      <c r="F703" s="46"/>
      <c r="G703" s="46"/>
      <c r="H703" s="46"/>
      <c r="I703" s="47"/>
    </row>
    <row r="704" spans="2:9" ht="19.899999999999999" customHeight="1" x14ac:dyDescent="0.25">
      <c r="B704" s="23"/>
      <c r="C704" s="2" t="s">
        <v>690</v>
      </c>
      <c r="D704" s="45" t="s">
        <v>691</v>
      </c>
      <c r="E704" s="46"/>
      <c r="F704" s="46"/>
      <c r="G704" s="46"/>
      <c r="H704" s="46"/>
      <c r="I704" s="47"/>
    </row>
    <row r="705" spans="2:9" ht="19.899999999999999" customHeight="1" x14ac:dyDescent="0.25">
      <c r="B705" s="23"/>
      <c r="C705" s="2" t="s">
        <v>692</v>
      </c>
      <c r="D705" s="45" t="s">
        <v>693</v>
      </c>
      <c r="E705" s="46"/>
      <c r="F705" s="46"/>
      <c r="G705" s="46"/>
      <c r="H705" s="46"/>
      <c r="I705" s="47"/>
    </row>
    <row r="706" spans="2:9" x14ac:dyDescent="0.25">
      <c r="B706" s="23"/>
      <c r="I706" s="26"/>
    </row>
    <row r="707" spans="2:9" x14ac:dyDescent="0.25">
      <c r="B707" s="23"/>
      <c r="C707" s="55" t="s">
        <v>60</v>
      </c>
      <c r="D707" s="46"/>
      <c r="E707" s="46"/>
      <c r="F707" s="46"/>
      <c r="G707" s="46"/>
      <c r="H707" s="46"/>
      <c r="I707" s="47"/>
    </row>
    <row r="708" spans="2:9" x14ac:dyDescent="0.25">
      <c r="B708" s="23"/>
      <c r="C708" s="67" t="str">
        <f>HYPERLINK("#'Json-dokumentation'!A3421", "Fotnot: (**)")</f>
        <v>Fotnot: (**)</v>
      </c>
      <c r="D708" s="46"/>
      <c r="E708" s="46"/>
      <c r="F708" s="46"/>
      <c r="G708" s="46"/>
      <c r="H708" s="46"/>
      <c r="I708" s="47"/>
    </row>
    <row r="709" spans="2:9" x14ac:dyDescent="0.25">
      <c r="B709" s="23"/>
      <c r="I709" s="26"/>
    </row>
    <row r="710" spans="2:9" ht="19.899999999999999" customHeight="1" x14ac:dyDescent="0.25">
      <c r="B710" s="24" t="s">
        <v>694</v>
      </c>
      <c r="C710" s="19" t="s">
        <v>695</v>
      </c>
      <c r="D710" s="52" t="s">
        <v>696</v>
      </c>
      <c r="E710" s="53"/>
      <c r="F710" s="53"/>
      <c r="G710" s="53"/>
      <c r="H710" s="53"/>
      <c r="I710" s="54"/>
    </row>
    <row r="711" spans="2:9" x14ac:dyDescent="0.25">
      <c r="B711" s="23"/>
      <c r="C711" s="2" t="s">
        <v>697</v>
      </c>
      <c r="I711" s="26"/>
    </row>
    <row r="712" spans="2:9" x14ac:dyDescent="0.25">
      <c r="B712" s="23"/>
      <c r="C712" s="2" t="s">
        <v>698</v>
      </c>
      <c r="I712" s="26"/>
    </row>
    <row r="713" spans="2:9" x14ac:dyDescent="0.25">
      <c r="B713" s="23"/>
      <c r="I713" s="26"/>
    </row>
    <row r="714" spans="2:9" x14ac:dyDescent="0.25">
      <c r="B714" s="23"/>
      <c r="C714" s="55" t="s">
        <v>60</v>
      </c>
      <c r="D714" s="46"/>
      <c r="E714" s="46"/>
      <c r="F714" s="46"/>
      <c r="G714" s="46"/>
      <c r="H714" s="46"/>
      <c r="I714" s="47"/>
    </row>
    <row r="715" spans="2:9" x14ac:dyDescent="0.25">
      <c r="B715" s="23"/>
      <c r="C715" s="67" t="str">
        <f>HYPERLINK("#'Json-dokumentation'!A3421", "Fotnot: (**)")</f>
        <v>Fotnot: (**)</v>
      </c>
      <c r="D715" s="46"/>
      <c r="E715" s="46"/>
      <c r="F715" s="46"/>
      <c r="G715" s="46"/>
      <c r="H715" s="46"/>
      <c r="I715" s="47"/>
    </row>
    <row r="716" spans="2:9" x14ac:dyDescent="0.25">
      <c r="B716" s="23"/>
      <c r="I716" s="26"/>
    </row>
    <row r="717" spans="2:9" ht="19.899999999999999" customHeight="1" x14ac:dyDescent="0.25">
      <c r="B717" s="24" t="s">
        <v>699</v>
      </c>
      <c r="C717" s="19" t="s">
        <v>695</v>
      </c>
      <c r="D717" s="52" t="s">
        <v>700</v>
      </c>
      <c r="E717" s="53"/>
      <c r="F717" s="53"/>
      <c r="G717" s="53"/>
      <c r="H717" s="53"/>
      <c r="I717" s="54"/>
    </row>
    <row r="718" spans="2:9" x14ac:dyDescent="0.25">
      <c r="B718" s="23"/>
      <c r="C718" s="2" t="s">
        <v>701</v>
      </c>
      <c r="I718" s="26"/>
    </row>
    <row r="719" spans="2:9" x14ac:dyDescent="0.25">
      <c r="B719" s="23"/>
      <c r="C719" s="2" t="s">
        <v>702</v>
      </c>
      <c r="I719" s="26"/>
    </row>
    <row r="720" spans="2:9" x14ac:dyDescent="0.25">
      <c r="B720" s="23"/>
      <c r="I720" s="26"/>
    </row>
    <row r="721" spans="2:9" x14ac:dyDescent="0.25">
      <c r="B721" s="23"/>
      <c r="C721" s="55" t="s">
        <v>60</v>
      </c>
      <c r="D721" s="46"/>
      <c r="E721" s="46"/>
      <c r="F721" s="46"/>
      <c r="G721" s="46"/>
      <c r="H721" s="46"/>
      <c r="I721" s="47"/>
    </row>
    <row r="722" spans="2:9" x14ac:dyDescent="0.25">
      <c r="B722" s="23"/>
      <c r="C722" s="67" t="str">
        <f>HYPERLINK("#'Json-dokumentation'!A3421", "Fotnot: (**)")</f>
        <v>Fotnot: (**)</v>
      </c>
      <c r="D722" s="46"/>
      <c r="E722" s="46"/>
      <c r="F722" s="46"/>
      <c r="G722" s="46"/>
      <c r="H722" s="46"/>
      <c r="I722" s="47"/>
    </row>
    <row r="723" spans="2:9" x14ac:dyDescent="0.25">
      <c r="B723" s="23"/>
      <c r="I723" s="26"/>
    </row>
    <row r="724" spans="2:9" ht="19.899999999999999" customHeight="1" x14ac:dyDescent="0.25">
      <c r="B724" s="24" t="s">
        <v>703</v>
      </c>
      <c r="C724" s="19" t="s">
        <v>695</v>
      </c>
      <c r="D724" s="52" t="s">
        <v>704</v>
      </c>
      <c r="E724" s="53"/>
      <c r="F724" s="53"/>
      <c r="G724" s="53"/>
      <c r="H724" s="53"/>
      <c r="I724" s="54"/>
    </row>
    <row r="725" spans="2:9" x14ac:dyDescent="0.25">
      <c r="B725" s="23"/>
      <c r="C725" s="2" t="s">
        <v>705</v>
      </c>
      <c r="I725" s="26"/>
    </row>
    <row r="726" spans="2:9" x14ac:dyDescent="0.25">
      <c r="B726" s="23"/>
      <c r="C726" s="2" t="s">
        <v>698</v>
      </c>
      <c r="I726" s="26"/>
    </row>
    <row r="727" spans="2:9" x14ac:dyDescent="0.25">
      <c r="B727" s="23"/>
      <c r="I727" s="26"/>
    </row>
    <row r="728" spans="2:9" x14ac:dyDescent="0.25">
      <c r="B728" s="23"/>
      <c r="C728" s="55" t="s">
        <v>60</v>
      </c>
      <c r="D728" s="46"/>
      <c r="E728" s="46"/>
      <c r="F728" s="46"/>
      <c r="G728" s="46"/>
      <c r="H728" s="46"/>
      <c r="I728" s="47"/>
    </row>
    <row r="729" spans="2:9" x14ac:dyDescent="0.25">
      <c r="B729" s="23"/>
      <c r="C729" s="67" t="str">
        <f>HYPERLINK("#'Json-dokumentation'!A3421", "Fotnot: (**)")</f>
        <v>Fotnot: (**)</v>
      </c>
      <c r="D729" s="46"/>
      <c r="E729" s="46"/>
      <c r="F729" s="46"/>
      <c r="G729" s="46"/>
      <c r="H729" s="46"/>
      <c r="I729" s="47"/>
    </row>
    <row r="730" spans="2:9" x14ac:dyDescent="0.25">
      <c r="B730" s="23"/>
      <c r="I730" s="26"/>
    </row>
    <row r="731" spans="2:9" ht="19.899999999999999" customHeight="1" x14ac:dyDescent="0.25">
      <c r="B731" s="24" t="s">
        <v>706</v>
      </c>
      <c r="C731" s="19" t="s">
        <v>182</v>
      </c>
      <c r="D731" s="52" t="s">
        <v>707</v>
      </c>
      <c r="E731" s="53"/>
      <c r="F731" s="53"/>
      <c r="G731" s="53"/>
      <c r="H731" s="53"/>
      <c r="I731" s="54"/>
    </row>
    <row r="732" spans="2:9" x14ac:dyDescent="0.25">
      <c r="B732" s="23"/>
      <c r="C732" s="2" t="s">
        <v>708</v>
      </c>
      <c r="I732" s="26"/>
    </row>
    <row r="733" spans="2:9" x14ac:dyDescent="0.25">
      <c r="B733" s="23"/>
      <c r="C733" s="2" t="s">
        <v>709</v>
      </c>
      <c r="I733" s="26"/>
    </row>
    <row r="734" spans="2:9" x14ac:dyDescent="0.25">
      <c r="B734" s="23"/>
      <c r="I734" s="26"/>
    </row>
    <row r="735" spans="2:9" x14ac:dyDescent="0.25">
      <c r="B735" s="23"/>
      <c r="C735" s="55" t="s">
        <v>60</v>
      </c>
      <c r="D735" s="46"/>
      <c r="E735" s="46"/>
      <c r="F735" s="46"/>
      <c r="G735" s="46"/>
      <c r="H735" s="46"/>
      <c r="I735" s="47"/>
    </row>
    <row r="736" spans="2:9" x14ac:dyDescent="0.25">
      <c r="B736" s="23"/>
      <c r="C736" s="67" t="str">
        <f>HYPERLINK("#'Json-dokumentation'!A3421", "Fotnot: (**)")</f>
        <v>Fotnot: (**)</v>
      </c>
      <c r="D736" s="46"/>
      <c r="E736" s="46"/>
      <c r="F736" s="46"/>
      <c r="G736" s="46"/>
      <c r="H736" s="46"/>
      <c r="I736" s="47"/>
    </row>
    <row r="737" spans="2:9" x14ac:dyDescent="0.25">
      <c r="B737" s="23"/>
      <c r="I737" s="26"/>
    </row>
    <row r="738" spans="2:9" ht="19.899999999999999" customHeight="1" x14ac:dyDescent="0.25">
      <c r="B738" s="24" t="s">
        <v>710</v>
      </c>
      <c r="C738" s="19" t="s">
        <v>695</v>
      </c>
      <c r="D738" s="52" t="s">
        <v>711</v>
      </c>
      <c r="E738" s="53"/>
      <c r="F738" s="53"/>
      <c r="G738" s="53"/>
      <c r="H738" s="53"/>
      <c r="I738" s="54"/>
    </row>
    <row r="739" spans="2:9" x14ac:dyDescent="0.25">
      <c r="B739" s="23"/>
      <c r="C739" s="2" t="s">
        <v>712</v>
      </c>
      <c r="I739" s="26"/>
    </row>
    <row r="740" spans="2:9" x14ac:dyDescent="0.25">
      <c r="B740" s="23"/>
      <c r="C740" s="2" t="s">
        <v>713</v>
      </c>
      <c r="I740" s="26"/>
    </row>
    <row r="741" spans="2:9" x14ac:dyDescent="0.25">
      <c r="B741" s="23"/>
      <c r="I741" s="26"/>
    </row>
    <row r="742" spans="2:9" x14ac:dyDescent="0.25">
      <c r="B742" s="23"/>
      <c r="C742" s="55" t="s">
        <v>60</v>
      </c>
      <c r="D742" s="46"/>
      <c r="E742" s="46"/>
      <c r="F742" s="46"/>
      <c r="G742" s="46"/>
      <c r="H742" s="46"/>
      <c r="I742" s="47"/>
    </row>
    <row r="743" spans="2:9" x14ac:dyDescent="0.25">
      <c r="B743" s="23"/>
      <c r="C743" s="67" t="str">
        <f>HYPERLINK("#'Json-dokumentation'!A3421", "Fotnot: (**)")</f>
        <v>Fotnot: (**)</v>
      </c>
      <c r="D743" s="46"/>
      <c r="E743" s="46"/>
      <c r="F743" s="46"/>
      <c r="G743" s="46"/>
      <c r="H743" s="46"/>
      <c r="I743" s="47"/>
    </row>
    <row r="744" spans="2:9" x14ac:dyDescent="0.25">
      <c r="B744" s="23"/>
      <c r="I744" s="26"/>
    </row>
    <row r="745" spans="2:9" ht="19.899999999999999" customHeight="1" x14ac:dyDescent="0.25">
      <c r="B745" s="24" t="s">
        <v>714</v>
      </c>
      <c r="C745" s="19" t="s">
        <v>695</v>
      </c>
      <c r="D745" s="52" t="s">
        <v>715</v>
      </c>
      <c r="E745" s="53"/>
      <c r="F745" s="53"/>
      <c r="G745" s="53"/>
      <c r="H745" s="53"/>
      <c r="I745" s="54"/>
    </row>
    <row r="746" spans="2:9" x14ac:dyDescent="0.25">
      <c r="B746" s="23"/>
      <c r="C746" s="2" t="s">
        <v>716</v>
      </c>
      <c r="I746" s="26"/>
    </row>
    <row r="747" spans="2:9" x14ac:dyDescent="0.25">
      <c r="B747" s="23"/>
      <c r="C747" s="2" t="s">
        <v>717</v>
      </c>
      <c r="I747" s="26"/>
    </row>
    <row r="748" spans="2:9" x14ac:dyDescent="0.25">
      <c r="B748" s="23"/>
      <c r="I748" s="26"/>
    </row>
    <row r="749" spans="2:9" x14ac:dyDescent="0.25">
      <c r="B749" s="23"/>
      <c r="C749" s="55" t="s">
        <v>60</v>
      </c>
      <c r="D749" s="46"/>
      <c r="E749" s="46"/>
      <c r="F749" s="46"/>
      <c r="G749" s="46"/>
      <c r="H749" s="46"/>
      <c r="I749" s="47"/>
    </row>
    <row r="750" spans="2:9" x14ac:dyDescent="0.25">
      <c r="B750" s="23"/>
      <c r="C750" s="67" t="str">
        <f>HYPERLINK("#'Json-dokumentation'!A3421", "Fotnot: (**)")</f>
        <v>Fotnot: (**)</v>
      </c>
      <c r="D750" s="46"/>
      <c r="E750" s="46"/>
      <c r="F750" s="46"/>
      <c r="G750" s="46"/>
      <c r="H750" s="46"/>
      <c r="I750" s="47"/>
    </row>
    <row r="751" spans="2:9" x14ac:dyDescent="0.25">
      <c r="B751" s="23"/>
      <c r="I751" s="26"/>
    </row>
    <row r="752" spans="2:9" ht="19.899999999999999" customHeight="1" x14ac:dyDescent="0.25">
      <c r="B752" s="24" t="s">
        <v>718</v>
      </c>
      <c r="C752" s="19" t="s">
        <v>182</v>
      </c>
      <c r="D752" s="52" t="s">
        <v>719</v>
      </c>
      <c r="E752" s="53"/>
      <c r="F752" s="53"/>
      <c r="G752" s="53"/>
      <c r="H752" s="53"/>
      <c r="I752" s="54"/>
    </row>
    <row r="753" spans="2:9" x14ac:dyDescent="0.25">
      <c r="B753" s="23"/>
      <c r="C753" s="2" t="s">
        <v>720</v>
      </c>
      <c r="I753" s="26"/>
    </row>
    <row r="754" spans="2:9" x14ac:dyDescent="0.25">
      <c r="B754" s="23"/>
      <c r="C754" s="2" t="s">
        <v>713</v>
      </c>
      <c r="I754" s="26"/>
    </row>
    <row r="755" spans="2:9" x14ac:dyDescent="0.25">
      <c r="B755" s="23"/>
      <c r="I755" s="26"/>
    </row>
    <row r="756" spans="2:9" x14ac:dyDescent="0.25">
      <c r="B756" s="23"/>
      <c r="C756" s="55" t="s">
        <v>60</v>
      </c>
      <c r="D756" s="46"/>
      <c r="E756" s="46"/>
      <c r="F756" s="46"/>
      <c r="G756" s="46"/>
      <c r="H756" s="46"/>
      <c r="I756" s="47"/>
    </row>
    <row r="757" spans="2:9" x14ac:dyDescent="0.25">
      <c r="B757" s="23"/>
      <c r="C757" s="67" t="str">
        <f>HYPERLINK("#'Json-dokumentation'!A3421", "Fotnot: (**)")</f>
        <v>Fotnot: (**)</v>
      </c>
      <c r="D757" s="46"/>
      <c r="E757" s="46"/>
      <c r="F757" s="46"/>
      <c r="G757" s="46"/>
      <c r="H757" s="46"/>
      <c r="I757" s="47"/>
    </row>
    <row r="758" spans="2:9" x14ac:dyDescent="0.25">
      <c r="B758" s="23"/>
      <c r="I758" s="26"/>
    </row>
    <row r="759" spans="2:9" ht="19.899999999999999" customHeight="1" x14ac:dyDescent="0.25">
      <c r="B759" s="24" t="s">
        <v>721</v>
      </c>
      <c r="C759" s="19" t="s">
        <v>182</v>
      </c>
      <c r="D759" s="52" t="s">
        <v>722</v>
      </c>
      <c r="E759" s="53"/>
      <c r="F759" s="53"/>
      <c r="G759" s="53"/>
      <c r="H759" s="53"/>
      <c r="I759" s="54"/>
    </row>
    <row r="760" spans="2:9" x14ac:dyDescent="0.25">
      <c r="B760" s="23"/>
      <c r="C760" s="2" t="s">
        <v>708</v>
      </c>
      <c r="I760" s="26"/>
    </row>
    <row r="761" spans="2:9" x14ac:dyDescent="0.25">
      <c r="B761" s="23"/>
      <c r="C761" s="2" t="s">
        <v>723</v>
      </c>
      <c r="I761" s="26"/>
    </row>
    <row r="762" spans="2:9" x14ac:dyDescent="0.25">
      <c r="B762" s="23"/>
      <c r="I762" s="26"/>
    </row>
    <row r="763" spans="2:9" x14ac:dyDescent="0.25">
      <c r="B763" s="23"/>
      <c r="C763" s="55" t="s">
        <v>60</v>
      </c>
      <c r="D763" s="46"/>
      <c r="E763" s="46"/>
      <c r="F763" s="46"/>
      <c r="G763" s="46"/>
      <c r="H763" s="46"/>
      <c r="I763" s="47"/>
    </row>
    <row r="764" spans="2:9" x14ac:dyDescent="0.25">
      <c r="B764" s="23"/>
      <c r="C764" s="67" t="str">
        <f>HYPERLINK("#'Json-dokumentation'!A3421", "Fotnot: (**)")</f>
        <v>Fotnot: (**)</v>
      </c>
      <c r="D764" s="46"/>
      <c r="E764" s="46"/>
      <c r="F764" s="46"/>
      <c r="G764" s="46"/>
      <c r="H764" s="46"/>
      <c r="I764" s="47"/>
    </row>
    <row r="765" spans="2:9" x14ac:dyDescent="0.25">
      <c r="B765" s="23"/>
      <c r="I765" s="26"/>
    </row>
    <row r="766" spans="2:9" ht="48.95" customHeight="1" x14ac:dyDescent="0.25">
      <c r="B766" s="24" t="s">
        <v>724</v>
      </c>
      <c r="C766" s="19" t="s">
        <v>182</v>
      </c>
      <c r="D766" s="52" t="s">
        <v>725</v>
      </c>
      <c r="E766" s="53"/>
      <c r="F766" s="53"/>
      <c r="G766" s="53"/>
      <c r="H766" s="53"/>
      <c r="I766" s="54"/>
    </row>
    <row r="767" spans="2:9" x14ac:dyDescent="0.25">
      <c r="B767" s="23"/>
      <c r="C767" s="2" t="s">
        <v>726</v>
      </c>
      <c r="I767" s="26"/>
    </row>
    <row r="768" spans="2:9" x14ac:dyDescent="0.25">
      <c r="B768" s="23"/>
      <c r="C768" s="2" t="s">
        <v>727</v>
      </c>
      <c r="I768" s="26"/>
    </row>
    <row r="769" spans="2:9" x14ac:dyDescent="0.25">
      <c r="B769" s="23"/>
      <c r="I769" s="26"/>
    </row>
    <row r="770" spans="2:9" x14ac:dyDescent="0.25">
      <c r="B770" s="23"/>
      <c r="C770" s="55" t="s">
        <v>60</v>
      </c>
      <c r="D770" s="46"/>
      <c r="E770" s="46"/>
      <c r="F770" s="46"/>
      <c r="G770" s="46"/>
      <c r="H770" s="46"/>
      <c r="I770" s="47"/>
    </row>
    <row r="771" spans="2:9" x14ac:dyDescent="0.25">
      <c r="B771" s="23"/>
      <c r="C771" s="67" t="str">
        <f>HYPERLINK("#'Json-dokumentation'!A3421", "Fotnot: (**)")</f>
        <v>Fotnot: (**)</v>
      </c>
      <c r="D771" s="46"/>
      <c r="E771" s="46"/>
      <c r="F771" s="46"/>
      <c r="G771" s="46"/>
      <c r="H771" s="46"/>
      <c r="I771" s="47"/>
    </row>
    <row r="772" spans="2:9" x14ac:dyDescent="0.25">
      <c r="B772" s="23"/>
      <c r="I772" s="26"/>
    </row>
    <row r="773" spans="2:9" ht="48.95" customHeight="1" x14ac:dyDescent="0.25">
      <c r="B773" s="24" t="s">
        <v>728</v>
      </c>
      <c r="C773" s="19" t="s">
        <v>695</v>
      </c>
      <c r="D773" s="52" t="s">
        <v>729</v>
      </c>
      <c r="E773" s="53"/>
      <c r="F773" s="53"/>
      <c r="G773" s="53"/>
      <c r="H773" s="53"/>
      <c r="I773" s="54"/>
    </row>
    <row r="774" spans="2:9" x14ac:dyDescent="0.25">
      <c r="B774" s="23"/>
      <c r="C774" s="2" t="s">
        <v>730</v>
      </c>
      <c r="I774" s="26"/>
    </row>
    <row r="775" spans="2:9" x14ac:dyDescent="0.25">
      <c r="B775" s="23"/>
      <c r="C775" s="2" t="s">
        <v>731</v>
      </c>
      <c r="I775" s="26"/>
    </row>
    <row r="776" spans="2:9" x14ac:dyDescent="0.25">
      <c r="B776" s="23"/>
      <c r="I776" s="26"/>
    </row>
    <row r="777" spans="2:9" x14ac:dyDescent="0.25">
      <c r="B777" s="23"/>
      <c r="C777" s="55" t="s">
        <v>60</v>
      </c>
      <c r="D777" s="46"/>
      <c r="E777" s="46"/>
      <c r="F777" s="46"/>
      <c r="G777" s="46"/>
      <c r="H777" s="46"/>
      <c r="I777" s="47"/>
    </row>
    <row r="778" spans="2:9" x14ac:dyDescent="0.25">
      <c r="B778" s="23"/>
      <c r="C778" s="67" t="str">
        <f>HYPERLINK("#'Json-dokumentation'!A3421", "Fotnot: (**)")</f>
        <v>Fotnot: (**)</v>
      </c>
      <c r="D778" s="46"/>
      <c r="E778" s="46"/>
      <c r="F778" s="46"/>
      <c r="G778" s="46"/>
      <c r="H778" s="46"/>
      <c r="I778" s="47"/>
    </row>
    <row r="779" spans="2:9" x14ac:dyDescent="0.25">
      <c r="B779" s="23"/>
      <c r="I779" s="26"/>
    </row>
    <row r="780" spans="2:9" ht="19.899999999999999" customHeight="1" x14ac:dyDescent="0.25">
      <c r="B780" s="24" t="s">
        <v>732</v>
      </c>
      <c r="C780" s="19" t="s">
        <v>220</v>
      </c>
      <c r="D780" s="52" t="s">
        <v>733</v>
      </c>
      <c r="E780" s="53"/>
      <c r="F780" s="53"/>
      <c r="G780" s="53"/>
      <c r="H780" s="53"/>
      <c r="I780" s="54"/>
    </row>
    <row r="781" spans="2:9" x14ac:dyDescent="0.25">
      <c r="B781" s="23"/>
      <c r="C781" s="2" t="s">
        <v>222</v>
      </c>
      <c r="I781" s="26"/>
    </row>
    <row r="782" spans="2:9" x14ac:dyDescent="0.25">
      <c r="B782" s="23"/>
      <c r="I782" s="26"/>
    </row>
    <row r="783" spans="2:9" x14ac:dyDescent="0.25">
      <c r="B783" s="23"/>
      <c r="C783" s="55" t="s">
        <v>60</v>
      </c>
      <c r="D783" s="46"/>
      <c r="E783" s="46"/>
      <c r="F783" s="46"/>
      <c r="G783" s="46"/>
      <c r="H783" s="46"/>
      <c r="I783" s="47"/>
    </row>
    <row r="784" spans="2:9" x14ac:dyDescent="0.25">
      <c r="B784" s="23"/>
      <c r="C784" s="67" t="str">
        <f>HYPERLINK("#'Json-dokumentation'!A3421", "Fotnot: (**)")</f>
        <v>Fotnot: (**)</v>
      </c>
      <c r="D784" s="46"/>
      <c r="E784" s="46"/>
      <c r="F784" s="46"/>
      <c r="G784" s="46"/>
      <c r="H784" s="46"/>
      <c r="I784" s="47"/>
    </row>
    <row r="785" spans="1:10" x14ac:dyDescent="0.25">
      <c r="B785" s="25"/>
      <c r="C785" s="21"/>
      <c r="D785" s="21"/>
      <c r="E785" s="21"/>
      <c r="F785" s="21"/>
      <c r="G785" s="21"/>
      <c r="H785" s="21"/>
      <c r="I785" s="27"/>
    </row>
    <row r="787" spans="1:10" x14ac:dyDescent="0.25">
      <c r="B787" s="3" t="s">
        <v>734</v>
      </c>
    </row>
    <row r="789" spans="1:10" x14ac:dyDescent="0.25">
      <c r="B789" s="3" t="s">
        <v>82</v>
      </c>
    </row>
    <row r="790" spans="1:10" ht="19.899999999999999" customHeight="1" x14ac:dyDescent="0.25">
      <c r="B790" s="29" t="s">
        <v>735</v>
      </c>
      <c r="C790" s="42" t="s">
        <v>736</v>
      </c>
      <c r="D790" s="43"/>
      <c r="E790" s="43"/>
      <c r="F790" s="43"/>
      <c r="G790" s="43"/>
      <c r="H790" s="43"/>
      <c r="I790" s="44"/>
    </row>
    <row r="791" spans="1:10" ht="34.35" customHeight="1" x14ac:dyDescent="0.25">
      <c r="B791" s="30" t="s">
        <v>737</v>
      </c>
      <c r="C791" s="52" t="s">
        <v>738</v>
      </c>
      <c r="D791" s="53"/>
      <c r="E791" s="46"/>
      <c r="F791" s="46"/>
      <c r="G791" s="46"/>
      <c r="H791" s="46"/>
      <c r="I791" s="47"/>
      <c r="J791" s="17" t="str">
        <f>HYPERLINK("#'Ändringshistorik'!C132", "Ändringshistorik: [216]")</f>
        <v>Ändringshistorik: [216]</v>
      </c>
    </row>
    <row r="792" spans="1:10" ht="19.899999999999999" customHeight="1" x14ac:dyDescent="0.25">
      <c r="B792" s="31" t="s">
        <v>739</v>
      </c>
      <c r="C792" s="59" t="s">
        <v>740</v>
      </c>
      <c r="D792" s="60"/>
      <c r="E792" s="49"/>
      <c r="F792" s="49"/>
      <c r="G792" s="49"/>
      <c r="H792" s="49"/>
      <c r="I792" s="50"/>
    </row>
    <row r="796" spans="1:10" ht="19.899999999999999" customHeight="1" x14ac:dyDescent="0.25">
      <c r="A796" s="45" t="s">
        <v>10</v>
      </c>
      <c r="B796" s="46"/>
      <c r="C796" s="46"/>
      <c r="D796" s="46"/>
      <c r="E796" s="46"/>
      <c r="F796" s="46"/>
      <c r="G796" s="46"/>
      <c r="H796" s="46"/>
      <c r="I796" s="46"/>
    </row>
    <row r="797" spans="1:10" ht="18.75" x14ac:dyDescent="0.25">
      <c r="A797" s="16" t="s">
        <v>741</v>
      </c>
      <c r="B797" s="3" t="s">
        <v>47</v>
      </c>
    </row>
    <row r="798" spans="1:10" ht="48.95" customHeight="1" x14ac:dyDescent="0.25">
      <c r="B798" s="22" t="s">
        <v>742</v>
      </c>
      <c r="C798" s="32" t="s">
        <v>69</v>
      </c>
      <c r="D798" s="42" t="s">
        <v>743</v>
      </c>
      <c r="E798" s="43"/>
      <c r="F798" s="43"/>
      <c r="G798" s="43"/>
      <c r="H798" s="43"/>
      <c r="I798" s="44"/>
    </row>
    <row r="799" spans="1:10" x14ac:dyDescent="0.25">
      <c r="B799" s="23"/>
      <c r="C799" s="2" t="s">
        <v>744</v>
      </c>
      <c r="I799" s="26"/>
    </row>
    <row r="800" spans="1:10" x14ac:dyDescent="0.25">
      <c r="B800" s="23"/>
      <c r="I800" s="26"/>
    </row>
    <row r="801" spans="2:10" x14ac:dyDescent="0.25">
      <c r="B801" s="23"/>
      <c r="C801" s="55" t="s">
        <v>60</v>
      </c>
      <c r="D801" s="46"/>
      <c r="E801" s="46"/>
      <c r="F801" s="46"/>
      <c r="G801" s="46"/>
      <c r="H801" s="46"/>
      <c r="I801" s="47"/>
    </row>
    <row r="802" spans="2:10" x14ac:dyDescent="0.25">
      <c r="B802" s="23"/>
      <c r="I802" s="26"/>
    </row>
    <row r="803" spans="2:10" ht="48.95" customHeight="1" x14ac:dyDescent="0.25">
      <c r="B803" s="24" t="s">
        <v>745</v>
      </c>
      <c r="C803" s="18" t="s">
        <v>49</v>
      </c>
      <c r="D803" s="52" t="s">
        <v>746</v>
      </c>
      <c r="E803" s="53"/>
      <c r="F803" s="53"/>
      <c r="G803" s="53"/>
      <c r="H803" s="53"/>
      <c r="I803" s="54"/>
      <c r="J803" s="17" t="str">
        <f>HYPERLINK("#'Ändringshistorik'!C177", "Ändringshistorik: [134] ,[135]")</f>
        <v>Ändringshistorik: [134] ,[135]</v>
      </c>
    </row>
    <row r="804" spans="2:10" ht="19.899999999999999" customHeight="1" x14ac:dyDescent="0.25">
      <c r="B804" s="23"/>
      <c r="C804" s="2" t="s">
        <v>747</v>
      </c>
      <c r="D804" s="45" t="s">
        <v>748</v>
      </c>
      <c r="E804" s="46"/>
      <c r="F804" s="46"/>
      <c r="G804" s="46"/>
      <c r="H804" s="46"/>
      <c r="I804" s="47"/>
    </row>
    <row r="805" spans="2:10" ht="19.899999999999999" customHeight="1" x14ac:dyDescent="0.25">
      <c r="B805" s="23"/>
      <c r="C805" s="2" t="s">
        <v>749</v>
      </c>
      <c r="D805" s="45" t="s">
        <v>750</v>
      </c>
      <c r="E805" s="46"/>
      <c r="F805" s="46"/>
      <c r="G805" s="46"/>
      <c r="H805" s="46"/>
      <c r="I805" s="47"/>
    </row>
    <row r="806" spans="2:10" x14ac:dyDescent="0.25">
      <c r="B806" s="23"/>
      <c r="I806" s="26"/>
    </row>
    <row r="807" spans="2:10" x14ac:dyDescent="0.25">
      <c r="B807" s="23"/>
      <c r="C807" s="55" t="s">
        <v>60</v>
      </c>
      <c r="D807" s="46"/>
      <c r="E807" s="46"/>
      <c r="F807" s="46"/>
      <c r="G807" s="46"/>
      <c r="H807" s="46"/>
      <c r="I807" s="47"/>
    </row>
    <row r="808" spans="2:10" x14ac:dyDescent="0.25">
      <c r="B808" s="23"/>
      <c r="I808" s="26"/>
    </row>
    <row r="809" spans="2:10" ht="19.899999999999999" customHeight="1" x14ac:dyDescent="0.25">
      <c r="B809" s="24" t="s">
        <v>751</v>
      </c>
      <c r="C809" s="19" t="s">
        <v>182</v>
      </c>
      <c r="D809" s="52" t="s">
        <v>752</v>
      </c>
      <c r="E809" s="53"/>
      <c r="F809" s="53"/>
      <c r="G809" s="53"/>
      <c r="H809" s="53"/>
      <c r="I809" s="54"/>
      <c r="J809" s="17" t="str">
        <f>HYPERLINK("#'Ändringshistorik'!C179", "Ändringshistorik: [136] ,[137]")</f>
        <v>Ändringshistorik: [136] ,[137]</v>
      </c>
    </row>
    <row r="810" spans="2:10" x14ac:dyDescent="0.25">
      <c r="B810" s="23"/>
      <c r="C810" s="2" t="s">
        <v>753</v>
      </c>
      <c r="I810" s="26"/>
    </row>
    <row r="811" spans="2:10" x14ac:dyDescent="0.25">
      <c r="B811" s="23"/>
      <c r="C811" s="2" t="s">
        <v>754</v>
      </c>
      <c r="I811" s="26"/>
    </row>
    <row r="812" spans="2:10" x14ac:dyDescent="0.25">
      <c r="B812" s="23"/>
      <c r="I812" s="26"/>
    </row>
    <row r="813" spans="2:10" x14ac:dyDescent="0.25">
      <c r="B813" s="23"/>
      <c r="C813" s="55" t="s">
        <v>60</v>
      </c>
      <c r="D813" s="46"/>
      <c r="E813" s="46"/>
      <c r="F813" s="46"/>
      <c r="G813" s="46"/>
      <c r="H813" s="46"/>
      <c r="I813" s="47"/>
    </row>
    <row r="814" spans="2:10" x14ac:dyDescent="0.25">
      <c r="B814" s="23"/>
      <c r="I814" s="26"/>
    </row>
    <row r="815" spans="2:10" ht="19.899999999999999" customHeight="1" x14ac:dyDescent="0.25">
      <c r="B815" s="24" t="s">
        <v>755</v>
      </c>
      <c r="C815" s="19" t="s">
        <v>220</v>
      </c>
      <c r="D815" s="52" t="s">
        <v>756</v>
      </c>
      <c r="E815" s="53"/>
      <c r="F815" s="53"/>
      <c r="G815" s="53"/>
      <c r="H815" s="53"/>
      <c r="I815" s="54"/>
      <c r="J815" s="17" t="str">
        <f>HYPERLINK("#'Ändringshistorik'!C181", "Ändringshistorik: [138] ,[139]")</f>
        <v>Ändringshistorik: [138] ,[139]</v>
      </c>
    </row>
    <row r="816" spans="2:10" x14ac:dyDescent="0.25">
      <c r="B816" s="23"/>
      <c r="C816" s="2" t="s">
        <v>222</v>
      </c>
      <c r="I816" s="26"/>
    </row>
    <row r="817" spans="2:10" x14ac:dyDescent="0.25">
      <c r="B817" s="23"/>
      <c r="I817" s="26"/>
    </row>
    <row r="818" spans="2:10" x14ac:dyDescent="0.25">
      <c r="B818" s="23"/>
      <c r="C818" s="55" t="s">
        <v>60</v>
      </c>
      <c r="D818" s="46"/>
      <c r="E818" s="46"/>
      <c r="F818" s="46"/>
      <c r="G818" s="46"/>
      <c r="H818" s="46"/>
      <c r="I818" s="47"/>
    </row>
    <row r="819" spans="2:10" x14ac:dyDescent="0.25">
      <c r="B819" s="23"/>
      <c r="I819" s="26"/>
    </row>
    <row r="820" spans="2:10" ht="48.95" customHeight="1" x14ac:dyDescent="0.25">
      <c r="B820" s="24" t="s">
        <v>757</v>
      </c>
      <c r="C820" s="19" t="s">
        <v>182</v>
      </c>
      <c r="D820" s="52" t="s">
        <v>758</v>
      </c>
      <c r="E820" s="53"/>
      <c r="F820" s="53"/>
      <c r="G820" s="53"/>
      <c r="H820" s="53"/>
      <c r="I820" s="54"/>
      <c r="J820" s="17" t="str">
        <f>HYPERLINK("#'Ändringshistorik'!C183", "Ändringshistorik: [140] ,[141]")</f>
        <v>Ändringshistorik: [140] ,[141]</v>
      </c>
    </row>
    <row r="821" spans="2:10" x14ac:dyDescent="0.25">
      <c r="B821" s="23"/>
      <c r="C821" s="2" t="s">
        <v>759</v>
      </c>
      <c r="I821" s="26"/>
    </row>
    <row r="822" spans="2:10" x14ac:dyDescent="0.25">
      <c r="B822" s="23"/>
      <c r="C822" s="2" t="s">
        <v>760</v>
      </c>
      <c r="I822" s="26"/>
    </row>
    <row r="823" spans="2:10" x14ac:dyDescent="0.25">
      <c r="B823" s="23"/>
      <c r="I823" s="26"/>
    </row>
    <row r="824" spans="2:10" x14ac:dyDescent="0.25">
      <c r="B824" s="23"/>
      <c r="C824" s="55" t="s">
        <v>60</v>
      </c>
      <c r="D824" s="46"/>
      <c r="E824" s="46"/>
      <c r="F824" s="46"/>
      <c r="G824" s="46"/>
      <c r="H824" s="46"/>
      <c r="I824" s="47"/>
    </row>
    <row r="825" spans="2:10" x14ac:dyDescent="0.25">
      <c r="B825" s="23"/>
      <c r="I825" s="26"/>
    </row>
    <row r="826" spans="2:10" ht="48.95" customHeight="1" x14ac:dyDescent="0.25">
      <c r="B826" s="24" t="s">
        <v>761</v>
      </c>
      <c r="C826" s="19" t="s">
        <v>182</v>
      </c>
      <c r="D826" s="52" t="s">
        <v>762</v>
      </c>
      <c r="E826" s="53"/>
      <c r="F826" s="53"/>
      <c r="G826" s="53"/>
      <c r="H826" s="53"/>
      <c r="I826" s="54"/>
      <c r="J826" s="17" t="str">
        <f>HYPERLINK("#'Ändringshistorik'!C185", "Ändringshistorik: [142] ,[143]")</f>
        <v>Ändringshistorik: [142] ,[143]</v>
      </c>
    </row>
    <row r="827" spans="2:10" x14ac:dyDescent="0.25">
      <c r="B827" s="23"/>
      <c r="C827" s="2" t="s">
        <v>763</v>
      </c>
      <c r="I827" s="26"/>
    </row>
    <row r="828" spans="2:10" x14ac:dyDescent="0.25">
      <c r="B828" s="23"/>
      <c r="C828" s="2" t="s">
        <v>764</v>
      </c>
      <c r="I828" s="26"/>
    </row>
    <row r="829" spans="2:10" x14ac:dyDescent="0.25">
      <c r="B829" s="23"/>
      <c r="I829" s="26"/>
    </row>
    <row r="830" spans="2:10" x14ac:dyDescent="0.25">
      <c r="B830" s="23"/>
      <c r="C830" s="55" t="s">
        <v>60</v>
      </c>
      <c r="D830" s="46"/>
      <c r="E830" s="46"/>
      <c r="F830" s="46"/>
      <c r="G830" s="46"/>
      <c r="H830" s="46"/>
      <c r="I830" s="47"/>
    </row>
    <row r="831" spans="2:10" x14ac:dyDescent="0.25">
      <c r="B831" s="23"/>
      <c r="I831" s="26"/>
    </row>
    <row r="832" spans="2:10" ht="92.25" customHeight="1" x14ac:dyDescent="0.25">
      <c r="B832" s="24" t="s">
        <v>765</v>
      </c>
      <c r="C832" s="19" t="s">
        <v>182</v>
      </c>
      <c r="D832" s="52" t="s">
        <v>766</v>
      </c>
      <c r="E832" s="53"/>
      <c r="F832" s="53"/>
      <c r="G832" s="53"/>
      <c r="H832" s="53"/>
      <c r="I832" s="54"/>
      <c r="J832" s="17" t="str">
        <f>HYPERLINK("#'Ändringshistorik'!C187", "Ändringshistorik: [144] ,[145]")</f>
        <v>Ändringshistorik: [144] ,[145]</v>
      </c>
    </row>
    <row r="833" spans="2:10" x14ac:dyDescent="0.25">
      <c r="B833" s="23"/>
      <c r="C833" s="2" t="s">
        <v>767</v>
      </c>
      <c r="I833" s="26"/>
    </row>
    <row r="834" spans="2:10" x14ac:dyDescent="0.25">
      <c r="B834" s="23"/>
      <c r="C834" s="2" t="s">
        <v>768</v>
      </c>
      <c r="I834" s="26"/>
    </row>
    <row r="835" spans="2:10" x14ac:dyDescent="0.25">
      <c r="B835" s="23"/>
      <c r="I835" s="26"/>
    </row>
    <row r="836" spans="2:10" x14ac:dyDescent="0.25">
      <c r="B836" s="23"/>
      <c r="C836" s="55" t="s">
        <v>60</v>
      </c>
      <c r="D836" s="46"/>
      <c r="E836" s="46"/>
      <c r="F836" s="46"/>
      <c r="G836" s="46"/>
      <c r="H836" s="46"/>
      <c r="I836" s="47"/>
    </row>
    <row r="837" spans="2:10" x14ac:dyDescent="0.25">
      <c r="B837" s="23"/>
      <c r="I837" s="26"/>
    </row>
    <row r="838" spans="2:10" ht="92.25" customHeight="1" x14ac:dyDescent="0.25">
      <c r="B838" s="24" t="s">
        <v>769</v>
      </c>
      <c r="C838" s="19" t="s">
        <v>182</v>
      </c>
      <c r="D838" s="52" t="s">
        <v>770</v>
      </c>
      <c r="E838" s="53"/>
      <c r="F838" s="53"/>
      <c r="G838" s="53"/>
      <c r="H838" s="53"/>
      <c r="I838" s="54"/>
      <c r="J838" s="17" t="str">
        <f>HYPERLINK("#'Ändringshistorik'!C189", "Ändringshistorik: [146] ,[147]")</f>
        <v>Ändringshistorik: [146] ,[147]</v>
      </c>
    </row>
    <row r="839" spans="2:10" x14ac:dyDescent="0.25">
      <c r="B839" s="23"/>
      <c r="C839" s="2" t="s">
        <v>771</v>
      </c>
      <c r="I839" s="26"/>
    </row>
    <row r="840" spans="2:10" x14ac:dyDescent="0.25">
      <c r="B840" s="23"/>
      <c r="C840" s="2" t="s">
        <v>772</v>
      </c>
      <c r="I840" s="26"/>
    </row>
    <row r="841" spans="2:10" x14ac:dyDescent="0.25">
      <c r="B841" s="23"/>
      <c r="I841" s="26"/>
    </row>
    <row r="842" spans="2:10" x14ac:dyDescent="0.25">
      <c r="B842" s="23"/>
      <c r="C842" s="55" t="s">
        <v>60</v>
      </c>
      <c r="D842" s="46"/>
      <c r="E842" s="46"/>
      <c r="F842" s="46"/>
      <c r="G842" s="46"/>
      <c r="H842" s="46"/>
      <c r="I842" s="47"/>
    </row>
    <row r="843" spans="2:10" x14ac:dyDescent="0.25">
      <c r="B843" s="23"/>
      <c r="I843" s="26"/>
    </row>
    <row r="844" spans="2:10" ht="63.4" customHeight="1" x14ac:dyDescent="0.25">
      <c r="B844" s="24" t="s">
        <v>773</v>
      </c>
      <c r="C844" s="19" t="s">
        <v>182</v>
      </c>
      <c r="D844" s="52" t="s">
        <v>774</v>
      </c>
      <c r="E844" s="53"/>
      <c r="F844" s="53"/>
      <c r="G844" s="53"/>
      <c r="H844" s="53"/>
      <c r="I844" s="54"/>
      <c r="J844" s="17" t="str">
        <f>HYPERLINK("#'Ändringshistorik'!C191", "Ändringshistorik: [148] ,[149]")</f>
        <v>Ändringshistorik: [148] ,[149]</v>
      </c>
    </row>
    <row r="845" spans="2:10" x14ac:dyDescent="0.25">
      <c r="B845" s="23"/>
      <c r="C845" s="2" t="s">
        <v>775</v>
      </c>
      <c r="I845" s="26"/>
    </row>
    <row r="846" spans="2:10" x14ac:dyDescent="0.25">
      <c r="B846" s="23"/>
      <c r="C846" s="2" t="s">
        <v>776</v>
      </c>
      <c r="I846" s="26"/>
    </row>
    <row r="847" spans="2:10" x14ac:dyDescent="0.25">
      <c r="B847" s="23"/>
      <c r="I847" s="26"/>
    </row>
    <row r="848" spans="2:10" x14ac:dyDescent="0.25">
      <c r="B848" s="23"/>
      <c r="C848" s="55" t="s">
        <v>60</v>
      </c>
      <c r="D848" s="46"/>
      <c r="E848" s="46"/>
      <c r="F848" s="46"/>
      <c r="G848" s="46"/>
      <c r="H848" s="46"/>
      <c r="I848" s="47"/>
    </row>
    <row r="849" spans="2:10" x14ac:dyDescent="0.25">
      <c r="B849" s="23"/>
      <c r="I849" s="26"/>
    </row>
    <row r="850" spans="2:10" ht="48.95" customHeight="1" x14ac:dyDescent="0.25">
      <c r="B850" s="24" t="s">
        <v>777</v>
      </c>
      <c r="C850" s="19" t="s">
        <v>220</v>
      </c>
      <c r="D850" s="52" t="s">
        <v>778</v>
      </c>
      <c r="E850" s="53"/>
      <c r="F850" s="53"/>
      <c r="G850" s="53"/>
      <c r="H850" s="53"/>
      <c r="I850" s="54"/>
      <c r="J850" s="17" t="str">
        <f>HYPERLINK("#'Ändringshistorik'!C193", "Ändringshistorik: [150] ,[151]")</f>
        <v>Ändringshistorik: [150] ,[151]</v>
      </c>
    </row>
    <row r="851" spans="2:10" x14ac:dyDescent="0.25">
      <c r="B851" s="23"/>
      <c r="C851" s="2" t="s">
        <v>222</v>
      </c>
      <c r="I851" s="26"/>
    </row>
    <row r="852" spans="2:10" x14ac:dyDescent="0.25">
      <c r="B852" s="23"/>
      <c r="I852" s="26"/>
    </row>
    <row r="853" spans="2:10" x14ac:dyDescent="0.25">
      <c r="B853" s="23"/>
      <c r="C853" s="55" t="s">
        <v>60</v>
      </c>
      <c r="D853" s="46"/>
      <c r="E853" s="46"/>
      <c r="F853" s="46"/>
      <c r="G853" s="46"/>
      <c r="H853" s="46"/>
      <c r="I853" s="47"/>
    </row>
    <row r="854" spans="2:10" x14ac:dyDescent="0.25">
      <c r="B854" s="23"/>
      <c r="I854" s="26"/>
    </row>
    <row r="855" spans="2:10" ht="48.95" customHeight="1" x14ac:dyDescent="0.25">
      <c r="B855" s="24" t="s">
        <v>779</v>
      </c>
      <c r="C855" s="19" t="s">
        <v>182</v>
      </c>
      <c r="D855" s="52" t="s">
        <v>780</v>
      </c>
      <c r="E855" s="53"/>
      <c r="F855" s="53"/>
      <c r="G855" s="53"/>
      <c r="H855" s="53"/>
      <c r="I855" s="54"/>
      <c r="J855" s="17" t="str">
        <f>HYPERLINK("#'Ändringshistorik'!C195", "Ändringshistorik: [152] ,[153]")</f>
        <v>Ändringshistorik: [152] ,[153]</v>
      </c>
    </row>
    <row r="856" spans="2:10" x14ac:dyDescent="0.25">
      <c r="B856" s="23"/>
      <c r="C856" s="2" t="s">
        <v>726</v>
      </c>
      <c r="I856" s="26"/>
    </row>
    <row r="857" spans="2:10" x14ac:dyDescent="0.25">
      <c r="B857" s="23"/>
      <c r="C857" s="2" t="s">
        <v>727</v>
      </c>
      <c r="I857" s="26"/>
    </row>
    <row r="858" spans="2:10" x14ac:dyDescent="0.25">
      <c r="B858" s="23"/>
      <c r="I858" s="26"/>
    </row>
    <row r="859" spans="2:10" x14ac:dyDescent="0.25">
      <c r="B859" s="23"/>
      <c r="C859" s="55" t="s">
        <v>60</v>
      </c>
      <c r="D859" s="46"/>
      <c r="E859" s="46"/>
      <c r="F859" s="46"/>
      <c r="G859" s="46"/>
      <c r="H859" s="46"/>
      <c r="I859" s="47"/>
    </row>
    <row r="860" spans="2:10" x14ac:dyDescent="0.25">
      <c r="B860" s="23"/>
      <c r="I860" s="26"/>
    </row>
    <row r="861" spans="2:10" ht="48.95" customHeight="1" x14ac:dyDescent="0.25">
      <c r="B861" s="24" t="s">
        <v>781</v>
      </c>
      <c r="C861" s="19" t="s">
        <v>695</v>
      </c>
      <c r="D861" s="52" t="s">
        <v>782</v>
      </c>
      <c r="E861" s="53"/>
      <c r="F861" s="53"/>
      <c r="G861" s="53"/>
      <c r="H861" s="53"/>
      <c r="I861" s="54"/>
      <c r="J861" s="17" t="str">
        <f>HYPERLINK("#'Ändringshistorik'!C197", "Ändringshistorik: [154] ,[155]")</f>
        <v>Ändringshistorik: [154] ,[155]</v>
      </c>
    </row>
    <row r="862" spans="2:10" x14ac:dyDescent="0.25">
      <c r="B862" s="23"/>
      <c r="C862" s="2" t="s">
        <v>783</v>
      </c>
      <c r="I862" s="26"/>
    </row>
    <row r="863" spans="2:10" x14ac:dyDescent="0.25">
      <c r="B863" s="23"/>
      <c r="C863" s="2" t="s">
        <v>731</v>
      </c>
      <c r="I863" s="26"/>
    </row>
    <row r="864" spans="2:10" x14ac:dyDescent="0.25">
      <c r="B864" s="23"/>
      <c r="I864" s="26"/>
    </row>
    <row r="865" spans="2:10" x14ac:dyDescent="0.25">
      <c r="B865" s="23"/>
      <c r="C865" s="55" t="s">
        <v>60</v>
      </c>
      <c r="D865" s="46"/>
      <c r="E865" s="46"/>
      <c r="F865" s="46"/>
      <c r="G865" s="46"/>
      <c r="H865" s="46"/>
      <c r="I865" s="47"/>
    </row>
    <row r="866" spans="2:10" x14ac:dyDescent="0.25">
      <c r="B866" s="23"/>
      <c r="I866" s="26"/>
    </row>
    <row r="867" spans="2:10" ht="48.95" customHeight="1" x14ac:dyDescent="0.25">
      <c r="B867" s="24" t="s">
        <v>784</v>
      </c>
      <c r="C867" s="19" t="s">
        <v>695</v>
      </c>
      <c r="D867" s="52" t="s">
        <v>785</v>
      </c>
      <c r="E867" s="53"/>
      <c r="F867" s="53"/>
      <c r="G867" s="53"/>
      <c r="H867" s="53"/>
      <c r="I867" s="54"/>
      <c r="J867" s="17" t="str">
        <f>HYPERLINK("#'Ändringshistorik'!C199", "Ändringshistorik: [156] ,[157]")</f>
        <v>Ändringshistorik: [156] ,[157]</v>
      </c>
    </row>
    <row r="868" spans="2:10" x14ac:dyDescent="0.25">
      <c r="B868" s="23"/>
      <c r="C868" s="2" t="s">
        <v>786</v>
      </c>
      <c r="I868" s="26"/>
    </row>
    <row r="869" spans="2:10" x14ac:dyDescent="0.25">
      <c r="B869" s="23"/>
      <c r="C869" s="2" t="s">
        <v>731</v>
      </c>
      <c r="I869" s="26"/>
    </row>
    <row r="870" spans="2:10" x14ac:dyDescent="0.25">
      <c r="B870" s="23"/>
      <c r="I870" s="26"/>
    </row>
    <row r="871" spans="2:10" x14ac:dyDescent="0.25">
      <c r="B871" s="23"/>
      <c r="C871" s="55" t="s">
        <v>60</v>
      </c>
      <c r="D871" s="46"/>
      <c r="E871" s="46"/>
      <c r="F871" s="46"/>
      <c r="G871" s="46"/>
      <c r="H871" s="46"/>
      <c r="I871" s="47"/>
    </row>
    <row r="872" spans="2:10" x14ac:dyDescent="0.25">
      <c r="B872" s="23"/>
      <c r="I872" s="26"/>
    </row>
    <row r="873" spans="2:10" ht="48.95" customHeight="1" x14ac:dyDescent="0.25">
      <c r="B873" s="24" t="s">
        <v>787</v>
      </c>
      <c r="C873" s="19" t="s">
        <v>182</v>
      </c>
      <c r="D873" s="52" t="s">
        <v>788</v>
      </c>
      <c r="E873" s="53"/>
      <c r="F873" s="53"/>
      <c r="G873" s="53"/>
      <c r="H873" s="53"/>
      <c r="I873" s="54"/>
      <c r="J873" s="17" t="str">
        <f>HYPERLINK("#'Ändringshistorik'!C201", "Ändringshistorik: [158] ,[159]")</f>
        <v>Ändringshistorik: [158] ,[159]</v>
      </c>
    </row>
    <row r="874" spans="2:10" x14ac:dyDescent="0.25">
      <c r="B874" s="23"/>
      <c r="C874" s="2" t="s">
        <v>789</v>
      </c>
      <c r="I874" s="26"/>
    </row>
    <row r="875" spans="2:10" x14ac:dyDescent="0.25">
      <c r="B875" s="23"/>
      <c r="C875" s="2" t="s">
        <v>790</v>
      </c>
      <c r="I875" s="26"/>
    </row>
    <row r="876" spans="2:10" x14ac:dyDescent="0.25">
      <c r="B876" s="23"/>
      <c r="I876" s="26"/>
    </row>
    <row r="877" spans="2:10" x14ac:dyDescent="0.25">
      <c r="B877" s="23"/>
      <c r="C877" s="55" t="s">
        <v>60</v>
      </c>
      <c r="D877" s="46"/>
      <c r="E877" s="46"/>
      <c r="F877" s="46"/>
      <c r="G877" s="46"/>
      <c r="H877" s="46"/>
      <c r="I877" s="47"/>
    </row>
    <row r="878" spans="2:10" x14ac:dyDescent="0.25">
      <c r="B878" s="23"/>
      <c r="I878" s="26"/>
    </row>
    <row r="879" spans="2:10" ht="19.899999999999999" customHeight="1" x14ac:dyDescent="0.25">
      <c r="B879" s="64" t="s">
        <v>791</v>
      </c>
      <c r="C879" s="65"/>
      <c r="D879" s="65"/>
      <c r="E879" s="65"/>
      <c r="F879" s="65"/>
      <c r="G879" s="65"/>
      <c r="H879" s="65"/>
      <c r="I879" s="66"/>
    </row>
    <row r="880" spans="2:10" ht="19.899999999999999" customHeight="1" x14ac:dyDescent="0.25">
      <c r="B880" s="35" t="s">
        <v>792</v>
      </c>
      <c r="C880" s="33" t="s">
        <v>182</v>
      </c>
      <c r="D880" s="45" t="s">
        <v>793</v>
      </c>
      <c r="E880" s="46"/>
      <c r="F880" s="46"/>
      <c r="G880" s="46"/>
      <c r="H880" s="46"/>
      <c r="I880" s="47"/>
    </row>
    <row r="881" spans="2:10" x14ac:dyDescent="0.25">
      <c r="B881" s="23"/>
      <c r="C881" s="2" t="s">
        <v>794</v>
      </c>
      <c r="I881" s="26"/>
    </row>
    <row r="882" spans="2:10" x14ac:dyDescent="0.25">
      <c r="B882" s="23"/>
      <c r="C882" s="2" t="s">
        <v>790</v>
      </c>
      <c r="I882" s="26"/>
    </row>
    <row r="883" spans="2:10" x14ac:dyDescent="0.25">
      <c r="B883" s="23"/>
      <c r="I883" s="26"/>
    </row>
    <row r="884" spans="2:10" x14ac:dyDescent="0.25">
      <c r="B884" s="23"/>
      <c r="C884" s="55" t="s">
        <v>60</v>
      </c>
      <c r="D884" s="46"/>
      <c r="E884" s="46"/>
      <c r="F884" s="46"/>
      <c r="G884" s="46"/>
      <c r="H884" s="46"/>
      <c r="I884" s="47"/>
    </row>
    <row r="885" spans="2:10" x14ac:dyDescent="0.25">
      <c r="B885" s="23"/>
      <c r="I885" s="26"/>
    </row>
    <row r="886" spans="2:10" ht="19.899999999999999" customHeight="1" x14ac:dyDescent="0.25">
      <c r="B886" s="24" t="s">
        <v>795</v>
      </c>
      <c r="C886" s="19" t="s">
        <v>182</v>
      </c>
      <c r="D886" s="52" t="s">
        <v>796</v>
      </c>
      <c r="E886" s="53"/>
      <c r="F886" s="53"/>
      <c r="G886" s="53"/>
      <c r="H886" s="53"/>
      <c r="I886" s="54"/>
    </row>
    <row r="887" spans="2:10" x14ac:dyDescent="0.25">
      <c r="B887" s="23"/>
      <c r="C887" s="2" t="s">
        <v>794</v>
      </c>
      <c r="I887" s="26"/>
    </row>
    <row r="888" spans="2:10" x14ac:dyDescent="0.25">
      <c r="B888" s="23"/>
      <c r="C888" s="2" t="s">
        <v>790</v>
      </c>
      <c r="I888" s="26"/>
    </row>
    <row r="889" spans="2:10" x14ac:dyDescent="0.25">
      <c r="B889" s="23"/>
      <c r="I889" s="26"/>
    </row>
    <row r="890" spans="2:10" x14ac:dyDescent="0.25">
      <c r="B890" s="23"/>
      <c r="C890" s="55" t="s">
        <v>60</v>
      </c>
      <c r="D890" s="46"/>
      <c r="E890" s="46"/>
      <c r="F890" s="46"/>
      <c r="G890" s="46"/>
      <c r="H890" s="46"/>
      <c r="I890" s="47"/>
    </row>
    <row r="891" spans="2:10" x14ac:dyDescent="0.25">
      <c r="B891" s="23"/>
      <c r="I891" s="26"/>
    </row>
    <row r="892" spans="2:10" ht="48.95" customHeight="1" x14ac:dyDescent="0.25">
      <c r="B892" s="24" t="s">
        <v>706</v>
      </c>
      <c r="C892" s="19" t="s">
        <v>182</v>
      </c>
      <c r="D892" s="52" t="s">
        <v>797</v>
      </c>
      <c r="E892" s="53"/>
      <c r="F892" s="53"/>
      <c r="G892" s="53"/>
      <c r="H892" s="53"/>
      <c r="I892" s="54"/>
      <c r="J892" s="17" t="str">
        <f>HYPERLINK("#'Ändringshistorik'!C203", "Ändringshistorik: [160] ,[161]")</f>
        <v>Ändringshistorik: [160] ,[161]</v>
      </c>
    </row>
    <row r="893" spans="2:10" x14ac:dyDescent="0.25">
      <c r="B893" s="23"/>
      <c r="C893" s="2" t="s">
        <v>798</v>
      </c>
      <c r="I893" s="26"/>
    </row>
    <row r="894" spans="2:10" x14ac:dyDescent="0.25">
      <c r="B894" s="23"/>
      <c r="C894" s="2" t="s">
        <v>799</v>
      </c>
      <c r="I894" s="26"/>
    </row>
    <row r="895" spans="2:10" x14ac:dyDescent="0.25">
      <c r="B895" s="23"/>
      <c r="I895" s="26"/>
    </row>
    <row r="896" spans="2:10" x14ac:dyDescent="0.25">
      <c r="B896" s="23"/>
      <c r="C896" s="55" t="s">
        <v>60</v>
      </c>
      <c r="D896" s="46"/>
      <c r="E896" s="46"/>
      <c r="F896" s="46"/>
      <c r="G896" s="46"/>
      <c r="H896" s="46"/>
      <c r="I896" s="47"/>
    </row>
    <row r="897" spans="2:10" x14ac:dyDescent="0.25">
      <c r="B897" s="23"/>
      <c r="I897" s="26"/>
    </row>
    <row r="898" spans="2:10" ht="48.95" customHeight="1" x14ac:dyDescent="0.25">
      <c r="B898" s="24" t="s">
        <v>800</v>
      </c>
      <c r="C898" s="19" t="s">
        <v>182</v>
      </c>
      <c r="D898" s="52" t="s">
        <v>801</v>
      </c>
      <c r="E898" s="53"/>
      <c r="F898" s="53"/>
      <c r="G898" s="53"/>
      <c r="H898" s="53"/>
      <c r="I898" s="54"/>
      <c r="J898" s="17" t="str">
        <f>HYPERLINK("#'Ändringshistorik'!C205", "Ändringshistorik: [162] ,[163]")</f>
        <v>Ändringshistorik: [162] ,[163]</v>
      </c>
    </row>
    <row r="899" spans="2:10" x14ac:dyDescent="0.25">
      <c r="B899" s="23"/>
      <c r="C899" s="2" t="s">
        <v>802</v>
      </c>
      <c r="I899" s="26"/>
    </row>
    <row r="900" spans="2:10" x14ac:dyDescent="0.25">
      <c r="B900" s="23"/>
      <c r="C900" s="2" t="s">
        <v>803</v>
      </c>
      <c r="I900" s="26"/>
    </row>
    <row r="901" spans="2:10" x14ac:dyDescent="0.25">
      <c r="B901" s="23"/>
      <c r="I901" s="26"/>
    </row>
    <row r="902" spans="2:10" x14ac:dyDescent="0.25">
      <c r="B902" s="23"/>
      <c r="C902" s="55" t="s">
        <v>60</v>
      </c>
      <c r="D902" s="46"/>
      <c r="E902" s="46"/>
      <c r="F902" s="46"/>
      <c r="G902" s="46"/>
      <c r="H902" s="46"/>
      <c r="I902" s="47"/>
    </row>
    <row r="903" spans="2:10" x14ac:dyDescent="0.25">
      <c r="B903" s="23"/>
      <c r="I903" s="26"/>
    </row>
    <row r="904" spans="2:10" ht="48.95" customHeight="1" x14ac:dyDescent="0.25">
      <c r="B904" s="24" t="s">
        <v>804</v>
      </c>
      <c r="C904" s="19" t="s">
        <v>695</v>
      </c>
      <c r="D904" s="52" t="s">
        <v>805</v>
      </c>
      <c r="E904" s="53"/>
      <c r="F904" s="53"/>
      <c r="G904" s="53"/>
      <c r="H904" s="53"/>
      <c r="I904" s="54"/>
      <c r="J904" s="17" t="str">
        <f>HYPERLINK("#'Ändringshistorik'!C207", "Ändringshistorik: [164] ,[165]")</f>
        <v>Ändringshistorik: [164] ,[165]</v>
      </c>
    </row>
    <row r="905" spans="2:10" x14ac:dyDescent="0.25">
      <c r="B905" s="23"/>
      <c r="C905" s="2" t="s">
        <v>806</v>
      </c>
      <c r="I905" s="26"/>
    </row>
    <row r="906" spans="2:10" x14ac:dyDescent="0.25">
      <c r="B906" s="23"/>
      <c r="C906" s="2" t="s">
        <v>807</v>
      </c>
      <c r="I906" s="26"/>
    </row>
    <row r="907" spans="2:10" x14ac:dyDescent="0.25">
      <c r="B907" s="23"/>
      <c r="I907" s="26"/>
    </row>
    <row r="908" spans="2:10" x14ac:dyDescent="0.25">
      <c r="B908" s="23"/>
      <c r="C908" s="55" t="s">
        <v>60</v>
      </c>
      <c r="D908" s="46"/>
      <c r="E908" s="46"/>
      <c r="F908" s="46"/>
      <c r="G908" s="46"/>
      <c r="H908" s="46"/>
      <c r="I908" s="47"/>
    </row>
    <row r="909" spans="2:10" x14ac:dyDescent="0.25">
      <c r="B909" s="23"/>
      <c r="I909" s="26"/>
    </row>
    <row r="910" spans="2:10" ht="19.899999999999999" customHeight="1" x14ac:dyDescent="0.25">
      <c r="B910" s="24" t="s">
        <v>808</v>
      </c>
      <c r="C910" s="19" t="s">
        <v>220</v>
      </c>
      <c r="D910" s="52" t="s">
        <v>809</v>
      </c>
      <c r="E910" s="53"/>
      <c r="F910" s="53"/>
      <c r="G910" s="53"/>
      <c r="H910" s="53"/>
      <c r="I910" s="54"/>
      <c r="J910" s="17" t="str">
        <f>HYPERLINK("#'Ändringshistorik'!C209", "Ändringshistorik: [166] ,[167]")</f>
        <v>Ändringshistorik: [166] ,[167]</v>
      </c>
    </row>
    <row r="911" spans="2:10" x14ac:dyDescent="0.25">
      <c r="B911" s="23"/>
      <c r="C911" s="2" t="s">
        <v>222</v>
      </c>
      <c r="I911" s="26"/>
    </row>
    <row r="912" spans="2:10" x14ac:dyDescent="0.25">
      <c r="B912" s="23"/>
      <c r="I912" s="26"/>
    </row>
    <row r="913" spans="2:10" x14ac:dyDescent="0.25">
      <c r="B913" s="23"/>
      <c r="C913" s="55" t="s">
        <v>60</v>
      </c>
      <c r="D913" s="46"/>
      <c r="E913" s="46"/>
      <c r="F913" s="46"/>
      <c r="G913" s="46"/>
      <c r="H913" s="46"/>
      <c r="I913" s="47"/>
    </row>
    <row r="914" spans="2:10" x14ac:dyDescent="0.25">
      <c r="B914" s="23"/>
      <c r="I914" s="26"/>
    </row>
    <row r="915" spans="2:10" ht="19.899999999999999" customHeight="1" x14ac:dyDescent="0.25">
      <c r="B915" s="24" t="s">
        <v>810</v>
      </c>
      <c r="C915" s="19" t="s">
        <v>220</v>
      </c>
      <c r="D915" s="52" t="s">
        <v>811</v>
      </c>
      <c r="E915" s="53"/>
      <c r="F915" s="53"/>
      <c r="G915" s="53"/>
      <c r="H915" s="53"/>
      <c r="I915" s="54"/>
      <c r="J915" s="17" t="str">
        <f>HYPERLINK("#'Ändringshistorik'!C211", "Ändringshistorik: [168] ,[169]")</f>
        <v>Ändringshistorik: [168] ,[169]</v>
      </c>
    </row>
    <row r="916" spans="2:10" x14ac:dyDescent="0.25">
      <c r="B916" s="23"/>
      <c r="C916" s="2" t="s">
        <v>222</v>
      </c>
      <c r="I916" s="26"/>
    </row>
    <row r="917" spans="2:10" x14ac:dyDescent="0.25">
      <c r="B917" s="23"/>
      <c r="I917" s="26"/>
    </row>
    <row r="918" spans="2:10" x14ac:dyDescent="0.25">
      <c r="B918" s="23"/>
      <c r="C918" s="55" t="s">
        <v>60</v>
      </c>
      <c r="D918" s="46"/>
      <c r="E918" s="46"/>
      <c r="F918" s="46"/>
      <c r="G918" s="46"/>
      <c r="H918" s="46"/>
      <c r="I918" s="47"/>
    </row>
    <row r="919" spans="2:10" x14ac:dyDescent="0.25">
      <c r="B919" s="23"/>
      <c r="I919" s="26"/>
    </row>
    <row r="920" spans="2:10" ht="19.899999999999999" customHeight="1" x14ac:dyDescent="0.25">
      <c r="B920" s="24" t="s">
        <v>812</v>
      </c>
      <c r="C920" s="19" t="s">
        <v>182</v>
      </c>
      <c r="D920" s="52" t="s">
        <v>813</v>
      </c>
      <c r="E920" s="53"/>
      <c r="F920" s="53"/>
      <c r="G920" s="53"/>
      <c r="H920" s="53"/>
      <c r="I920" s="54"/>
      <c r="J920" s="17" t="str">
        <f>HYPERLINK("#'Ändringshistorik'!C213", "Ändringshistorik: [170] ,[171]")</f>
        <v>Ändringshistorik: [170] ,[171]</v>
      </c>
    </row>
    <row r="921" spans="2:10" x14ac:dyDescent="0.25">
      <c r="B921" s="23"/>
      <c r="C921" s="2" t="s">
        <v>775</v>
      </c>
      <c r="I921" s="26"/>
    </row>
    <row r="922" spans="2:10" x14ac:dyDescent="0.25">
      <c r="B922" s="23"/>
      <c r="I922" s="26"/>
    </row>
    <row r="923" spans="2:10" x14ac:dyDescent="0.25">
      <c r="B923" s="23"/>
      <c r="C923" s="55" t="s">
        <v>60</v>
      </c>
      <c r="D923" s="46"/>
      <c r="E923" s="46"/>
      <c r="F923" s="46"/>
      <c r="G923" s="46"/>
      <c r="H923" s="46"/>
      <c r="I923" s="47"/>
    </row>
    <row r="924" spans="2:10" x14ac:dyDescent="0.25">
      <c r="B924" s="25"/>
      <c r="C924" s="21"/>
      <c r="D924" s="21"/>
      <c r="E924" s="21"/>
      <c r="F924" s="21"/>
      <c r="G924" s="21"/>
      <c r="H924" s="21"/>
      <c r="I924" s="27"/>
    </row>
    <row r="926" spans="2:10" x14ac:dyDescent="0.25">
      <c r="B926" s="3" t="s">
        <v>82</v>
      </c>
    </row>
    <row r="927" spans="2:10" ht="19.899999999999999" customHeight="1" x14ac:dyDescent="0.25">
      <c r="B927" s="29" t="s">
        <v>814</v>
      </c>
      <c r="C927" s="42" t="s">
        <v>815</v>
      </c>
      <c r="D927" s="43"/>
      <c r="E927" s="43"/>
      <c r="F927" s="43"/>
      <c r="G927" s="43"/>
      <c r="H927" s="43"/>
      <c r="I927" s="44"/>
    </row>
    <row r="928" spans="2:10" ht="34.35" customHeight="1" x14ac:dyDescent="0.25">
      <c r="B928" s="31" t="s">
        <v>816</v>
      </c>
      <c r="C928" s="59" t="s">
        <v>817</v>
      </c>
      <c r="D928" s="60"/>
      <c r="E928" s="49"/>
      <c r="F928" s="49"/>
      <c r="G928" s="49"/>
      <c r="H928" s="49"/>
      <c r="I928" s="50"/>
      <c r="J928" s="17" t="str">
        <f>HYPERLINK("#'Ändringshistorik'!C247", "Ändringshistorik: [103]")</f>
        <v>Ändringshistorik: [103]</v>
      </c>
    </row>
    <row r="932" spans="1:9" ht="121.15" customHeight="1" x14ac:dyDescent="0.25">
      <c r="A932" s="45" t="s">
        <v>11</v>
      </c>
      <c r="B932" s="46"/>
      <c r="C932" s="46"/>
      <c r="D932" s="46"/>
      <c r="E932" s="46"/>
      <c r="F932" s="46"/>
      <c r="G932" s="46"/>
      <c r="H932" s="46"/>
      <c r="I932" s="46"/>
    </row>
    <row r="933" spans="1:9" ht="18.75" x14ac:dyDescent="0.25">
      <c r="A933" s="16" t="s">
        <v>818</v>
      </c>
      <c r="B933" s="3" t="s">
        <v>47</v>
      </c>
    </row>
    <row r="934" spans="1:9" ht="19.899999999999999" customHeight="1" x14ac:dyDescent="0.25">
      <c r="B934" s="22" t="s">
        <v>819</v>
      </c>
      <c r="C934" s="20" t="s">
        <v>49</v>
      </c>
      <c r="D934" s="42" t="s">
        <v>820</v>
      </c>
      <c r="E934" s="43"/>
      <c r="F934" s="43"/>
      <c r="G934" s="43"/>
      <c r="H934" s="43"/>
      <c r="I934" s="44"/>
    </row>
    <row r="935" spans="1:9" ht="48.95" customHeight="1" x14ac:dyDescent="0.25">
      <c r="B935" s="23"/>
      <c r="C935" s="2" t="s">
        <v>657</v>
      </c>
      <c r="D935" s="45" t="s">
        <v>821</v>
      </c>
      <c r="E935" s="46"/>
      <c r="F935" s="46"/>
      <c r="G935" s="46"/>
      <c r="H935" s="46"/>
      <c r="I935" s="47"/>
    </row>
    <row r="936" spans="1:9" ht="48.95" customHeight="1" x14ac:dyDescent="0.25">
      <c r="B936" s="23"/>
      <c r="C936" s="2" t="s">
        <v>659</v>
      </c>
      <c r="D936" s="45" t="s">
        <v>822</v>
      </c>
      <c r="E936" s="46"/>
      <c r="F936" s="46"/>
      <c r="G936" s="46"/>
      <c r="H936" s="46"/>
      <c r="I936" s="47"/>
    </row>
    <row r="937" spans="1:9" ht="48.95" customHeight="1" x14ac:dyDescent="0.25">
      <c r="B937" s="23"/>
      <c r="C937" s="2" t="s">
        <v>661</v>
      </c>
      <c r="D937" s="45" t="s">
        <v>823</v>
      </c>
      <c r="E937" s="46"/>
      <c r="F937" s="46"/>
      <c r="G937" s="46"/>
      <c r="H937" s="46"/>
      <c r="I937" s="47"/>
    </row>
    <row r="938" spans="1:9" ht="63.4" customHeight="1" x14ac:dyDescent="0.25">
      <c r="B938" s="23"/>
      <c r="C938" s="2" t="s">
        <v>663</v>
      </c>
      <c r="D938" s="45" t="s">
        <v>824</v>
      </c>
      <c r="E938" s="46"/>
      <c r="F938" s="46"/>
      <c r="G938" s="46"/>
      <c r="H938" s="46"/>
      <c r="I938" s="47"/>
    </row>
    <row r="939" spans="1:9" ht="92.25" customHeight="1" x14ac:dyDescent="0.25">
      <c r="B939" s="23"/>
      <c r="C939" s="2" t="s">
        <v>671</v>
      </c>
      <c r="D939" s="45" t="s">
        <v>825</v>
      </c>
      <c r="E939" s="46"/>
      <c r="F939" s="46"/>
      <c r="G939" s="46"/>
      <c r="H939" s="46"/>
      <c r="I939" s="47"/>
    </row>
    <row r="940" spans="1:9" ht="63.4" customHeight="1" x14ac:dyDescent="0.25">
      <c r="B940" s="23"/>
      <c r="C940" s="2" t="s">
        <v>680</v>
      </c>
      <c r="D940" s="45" t="s">
        <v>826</v>
      </c>
      <c r="E940" s="46"/>
      <c r="F940" s="46"/>
      <c r="G940" s="46"/>
      <c r="H940" s="46"/>
      <c r="I940" s="47"/>
    </row>
    <row r="941" spans="1:9" ht="63.4" customHeight="1" x14ac:dyDescent="0.25">
      <c r="B941" s="23"/>
      <c r="C941" s="2" t="s">
        <v>690</v>
      </c>
      <c r="D941" s="45" t="s">
        <v>827</v>
      </c>
      <c r="E941" s="46"/>
      <c r="F941" s="46"/>
      <c r="G941" s="46"/>
      <c r="H941" s="46"/>
      <c r="I941" s="47"/>
    </row>
    <row r="942" spans="1:9" ht="34.35" customHeight="1" x14ac:dyDescent="0.25">
      <c r="B942" s="23"/>
      <c r="C942" s="2" t="s">
        <v>692</v>
      </c>
      <c r="D942" s="45" t="s">
        <v>828</v>
      </c>
      <c r="E942" s="46"/>
      <c r="F942" s="46"/>
      <c r="G942" s="46"/>
      <c r="H942" s="46"/>
      <c r="I942" s="47"/>
    </row>
    <row r="943" spans="1:9" ht="48.95" customHeight="1" x14ac:dyDescent="0.25">
      <c r="B943" s="23"/>
      <c r="C943" s="2" t="s">
        <v>829</v>
      </c>
      <c r="D943" s="45" t="s">
        <v>830</v>
      </c>
      <c r="E943" s="46"/>
      <c r="F943" s="46"/>
      <c r="G943" s="46"/>
      <c r="H943" s="46"/>
      <c r="I943" s="47"/>
    </row>
    <row r="944" spans="1:9" x14ac:dyDescent="0.25">
      <c r="B944" s="23"/>
      <c r="I944" s="26"/>
    </row>
    <row r="945" spans="2:10" x14ac:dyDescent="0.25">
      <c r="B945" s="23"/>
      <c r="C945" s="55" t="s">
        <v>60</v>
      </c>
      <c r="D945" s="46"/>
      <c r="E945" s="46"/>
      <c r="F945" s="46"/>
      <c r="G945" s="46"/>
      <c r="H945" s="46"/>
      <c r="I945" s="47"/>
    </row>
    <row r="946" spans="2:10" x14ac:dyDescent="0.25">
      <c r="B946" s="23"/>
      <c r="I946" s="26"/>
    </row>
    <row r="947" spans="2:10" ht="34.35" customHeight="1" x14ac:dyDescent="0.25">
      <c r="B947" s="24" t="s">
        <v>831</v>
      </c>
      <c r="C947" s="18" t="s">
        <v>49</v>
      </c>
      <c r="D947" s="52" t="s">
        <v>832</v>
      </c>
      <c r="E947" s="53"/>
      <c r="F947" s="53"/>
      <c r="G947" s="53"/>
      <c r="H947" s="53"/>
      <c r="I947" s="54"/>
    </row>
    <row r="948" spans="2:10" ht="92.25" customHeight="1" x14ac:dyDescent="0.25">
      <c r="B948" s="23"/>
      <c r="C948" s="2" t="s">
        <v>833</v>
      </c>
      <c r="D948" s="45" t="s">
        <v>834</v>
      </c>
      <c r="E948" s="46"/>
      <c r="F948" s="46"/>
      <c r="G948" s="46"/>
      <c r="H948" s="46"/>
      <c r="I948" s="47"/>
    </row>
    <row r="949" spans="2:10" ht="48.95" customHeight="1" x14ac:dyDescent="0.25">
      <c r="B949" s="23"/>
      <c r="C949" s="2" t="s">
        <v>835</v>
      </c>
      <c r="D949" s="45" t="s">
        <v>836</v>
      </c>
      <c r="E949" s="46"/>
      <c r="F949" s="46"/>
      <c r="G949" s="46"/>
      <c r="H949" s="46"/>
      <c r="I949" s="47"/>
    </row>
    <row r="950" spans="2:10" ht="63.4" customHeight="1" x14ac:dyDescent="0.25">
      <c r="B950" s="23"/>
      <c r="C950" s="2" t="s">
        <v>837</v>
      </c>
      <c r="D950" s="45" t="s">
        <v>838</v>
      </c>
      <c r="E950" s="46"/>
      <c r="F950" s="46"/>
      <c r="G950" s="46"/>
      <c r="H950" s="46"/>
      <c r="I950" s="47"/>
    </row>
    <row r="951" spans="2:10" x14ac:dyDescent="0.25">
      <c r="B951" s="23"/>
      <c r="I951" s="26"/>
    </row>
    <row r="952" spans="2:10" x14ac:dyDescent="0.25">
      <c r="B952" s="23"/>
      <c r="C952" s="55" t="s">
        <v>60</v>
      </c>
      <c r="D952" s="46"/>
      <c r="E952" s="46"/>
      <c r="F952" s="46"/>
      <c r="G952" s="46"/>
      <c r="H952" s="46"/>
      <c r="I952" s="47"/>
    </row>
    <row r="953" spans="2:10" x14ac:dyDescent="0.25">
      <c r="B953" s="25"/>
      <c r="C953" s="21"/>
      <c r="D953" s="21"/>
      <c r="E953" s="21"/>
      <c r="F953" s="21"/>
      <c r="G953" s="21"/>
      <c r="H953" s="21"/>
      <c r="I953" s="27"/>
    </row>
    <row r="955" spans="2:10" x14ac:dyDescent="0.25">
      <c r="B955" s="3" t="s">
        <v>82</v>
      </c>
    </row>
    <row r="956" spans="2:10" ht="19.899999999999999" customHeight="1" x14ac:dyDescent="0.25">
      <c r="B956" s="29" t="s">
        <v>839</v>
      </c>
      <c r="C956" s="42" t="s">
        <v>840</v>
      </c>
      <c r="D956" s="43"/>
      <c r="E956" s="43"/>
      <c r="F956" s="43"/>
      <c r="G956" s="43"/>
      <c r="H956" s="43"/>
      <c r="I956" s="44"/>
      <c r="J956" s="17" t="str">
        <f>HYPERLINK("#'Ändringshistorik'!C133", "Ändringshistorik: [217]")</f>
        <v>Ändringshistorik: [217]</v>
      </c>
    </row>
    <row r="957" spans="2:10" ht="34.35" customHeight="1" x14ac:dyDescent="0.25">
      <c r="B957" s="31" t="s">
        <v>841</v>
      </c>
      <c r="C957" s="59" t="s">
        <v>842</v>
      </c>
      <c r="D957" s="60"/>
      <c r="E957" s="49"/>
      <c r="F957" s="49"/>
      <c r="G957" s="49"/>
      <c r="H957" s="49"/>
      <c r="I957" s="50"/>
      <c r="J957" s="17" t="str">
        <f>HYPERLINK("#'Ändringshistorik'!C248", "Ändringshistorik: [104]")</f>
        <v>Ändringshistorik: [104]</v>
      </c>
    </row>
    <row r="961" spans="1:9" ht="19.899999999999999" customHeight="1" x14ac:dyDescent="0.25">
      <c r="A961" s="45" t="s">
        <v>12</v>
      </c>
      <c r="B961" s="46"/>
      <c r="C961" s="46"/>
      <c r="D961" s="46"/>
      <c r="E961" s="46"/>
      <c r="F961" s="46"/>
      <c r="G961" s="46"/>
      <c r="H961" s="46"/>
      <c r="I961" s="46"/>
    </row>
    <row r="962" spans="1:9" ht="18.75" x14ac:dyDescent="0.25">
      <c r="A962" s="16" t="s">
        <v>843</v>
      </c>
      <c r="B962" s="3" t="s">
        <v>47</v>
      </c>
    </row>
    <row r="963" spans="1:9" ht="19.899999999999999" customHeight="1" x14ac:dyDescent="0.25">
      <c r="B963" s="22" t="s">
        <v>287</v>
      </c>
      <c r="C963" s="32" t="s">
        <v>220</v>
      </c>
      <c r="D963" s="42" t="s">
        <v>844</v>
      </c>
      <c r="E963" s="43"/>
      <c r="F963" s="43"/>
      <c r="G963" s="43"/>
      <c r="H963" s="43"/>
      <c r="I963" s="44"/>
    </row>
    <row r="964" spans="1:9" x14ac:dyDescent="0.25">
      <c r="B964" s="23"/>
      <c r="C964" s="2" t="s">
        <v>222</v>
      </c>
      <c r="I964" s="26"/>
    </row>
    <row r="965" spans="1:9" x14ac:dyDescent="0.25">
      <c r="B965" s="23"/>
      <c r="I965" s="26"/>
    </row>
    <row r="966" spans="1:9" x14ac:dyDescent="0.25">
      <c r="B966" s="23"/>
      <c r="C966" s="51" t="s">
        <v>55</v>
      </c>
      <c r="D966" s="46"/>
      <c r="E966" s="46"/>
      <c r="F966" s="46"/>
      <c r="G966" s="46"/>
      <c r="H966" s="46"/>
      <c r="I966" s="47"/>
    </row>
    <row r="967" spans="1:9" x14ac:dyDescent="0.25">
      <c r="B967" s="23"/>
      <c r="I967" s="26"/>
    </row>
    <row r="968" spans="1:9" ht="19.899999999999999" customHeight="1" x14ac:dyDescent="0.25">
      <c r="B968" s="24" t="s">
        <v>845</v>
      </c>
      <c r="C968" s="19" t="s">
        <v>220</v>
      </c>
      <c r="D968" s="52" t="s">
        <v>846</v>
      </c>
      <c r="E968" s="53"/>
      <c r="F968" s="53"/>
      <c r="G968" s="53"/>
      <c r="H968" s="53"/>
      <c r="I968" s="54"/>
    </row>
    <row r="969" spans="1:9" x14ac:dyDescent="0.25">
      <c r="B969" s="23"/>
      <c r="C969" s="2" t="s">
        <v>222</v>
      </c>
      <c r="I969" s="26"/>
    </row>
    <row r="970" spans="1:9" x14ac:dyDescent="0.25">
      <c r="B970" s="23"/>
      <c r="I970" s="26"/>
    </row>
    <row r="971" spans="1:9" x14ac:dyDescent="0.25">
      <c r="B971" s="23"/>
      <c r="C971" s="51" t="s">
        <v>55</v>
      </c>
      <c r="D971" s="46"/>
      <c r="E971" s="46"/>
      <c r="F971" s="46"/>
      <c r="G971" s="46"/>
      <c r="H971" s="46"/>
      <c r="I971" s="47"/>
    </row>
    <row r="972" spans="1:9" x14ac:dyDescent="0.25">
      <c r="B972" s="23"/>
      <c r="I972" s="26"/>
    </row>
    <row r="973" spans="1:9" ht="19.899999999999999" customHeight="1" x14ac:dyDescent="0.25">
      <c r="B973" s="24" t="s">
        <v>847</v>
      </c>
      <c r="C973" s="19" t="s">
        <v>220</v>
      </c>
      <c r="D973" s="52" t="s">
        <v>848</v>
      </c>
      <c r="E973" s="53"/>
      <c r="F973" s="53"/>
      <c r="G973" s="53"/>
      <c r="H973" s="53"/>
      <c r="I973" s="54"/>
    </row>
    <row r="974" spans="1:9" x14ac:dyDescent="0.25">
      <c r="B974" s="23"/>
      <c r="C974" s="2" t="s">
        <v>222</v>
      </c>
      <c r="I974" s="26"/>
    </row>
    <row r="975" spans="1:9" x14ac:dyDescent="0.25">
      <c r="B975" s="23"/>
      <c r="I975" s="26"/>
    </row>
    <row r="976" spans="1:9" x14ac:dyDescent="0.25">
      <c r="B976" s="23"/>
      <c r="C976" s="51" t="s">
        <v>55</v>
      </c>
      <c r="D976" s="46"/>
      <c r="E976" s="46"/>
      <c r="F976" s="46"/>
      <c r="G976" s="46"/>
      <c r="H976" s="46"/>
      <c r="I976" s="47"/>
    </row>
    <row r="977" spans="2:9" x14ac:dyDescent="0.25">
      <c r="B977" s="23"/>
      <c r="I977" s="26"/>
    </row>
    <row r="978" spans="2:9" ht="19.899999999999999" customHeight="1" x14ac:dyDescent="0.25">
      <c r="B978" s="24" t="s">
        <v>849</v>
      </c>
      <c r="C978" s="18" t="s">
        <v>49</v>
      </c>
      <c r="D978" s="52" t="s">
        <v>850</v>
      </c>
      <c r="E978" s="53"/>
      <c r="F978" s="53"/>
      <c r="G978" s="53"/>
      <c r="H978" s="53"/>
      <c r="I978" s="54"/>
    </row>
    <row r="979" spans="2:9" ht="19.899999999999999" customHeight="1" x14ac:dyDescent="0.25">
      <c r="B979" s="23"/>
      <c r="C979" s="2" t="s">
        <v>851</v>
      </c>
      <c r="D979" s="45" t="s">
        <v>470</v>
      </c>
      <c r="E979" s="46"/>
      <c r="F979" s="46"/>
      <c r="G979" s="46"/>
      <c r="H979" s="46"/>
      <c r="I979" s="47"/>
    </row>
    <row r="980" spans="2:9" ht="19.899999999999999" customHeight="1" x14ac:dyDescent="0.25">
      <c r="B980" s="23"/>
      <c r="C980" s="2" t="s">
        <v>657</v>
      </c>
      <c r="D980" s="45" t="s">
        <v>852</v>
      </c>
      <c r="E980" s="46"/>
      <c r="F980" s="46"/>
      <c r="G980" s="46"/>
      <c r="H980" s="46"/>
      <c r="I980" s="47"/>
    </row>
    <row r="981" spans="2:9" ht="19.899999999999999" customHeight="1" x14ac:dyDescent="0.25">
      <c r="B981" s="23"/>
      <c r="C981" s="2" t="s">
        <v>659</v>
      </c>
      <c r="D981" s="45" t="s">
        <v>853</v>
      </c>
      <c r="E981" s="46"/>
      <c r="F981" s="46"/>
      <c r="G981" s="46"/>
      <c r="H981" s="46"/>
      <c r="I981" s="47"/>
    </row>
    <row r="982" spans="2:9" ht="19.899999999999999" customHeight="1" x14ac:dyDescent="0.25">
      <c r="B982" s="23"/>
      <c r="C982" s="2" t="s">
        <v>661</v>
      </c>
      <c r="D982" s="45" t="s">
        <v>854</v>
      </c>
      <c r="E982" s="46"/>
      <c r="F982" s="46"/>
      <c r="G982" s="46"/>
      <c r="H982" s="46"/>
      <c r="I982" s="47"/>
    </row>
    <row r="983" spans="2:9" ht="19.899999999999999" customHeight="1" x14ac:dyDescent="0.25">
      <c r="B983" s="23"/>
      <c r="C983" s="2" t="s">
        <v>663</v>
      </c>
      <c r="D983" s="45" t="s">
        <v>855</v>
      </c>
      <c r="E983" s="46"/>
      <c r="F983" s="46"/>
      <c r="G983" s="46"/>
      <c r="H983" s="46"/>
      <c r="I983" s="47"/>
    </row>
    <row r="984" spans="2:9" ht="19.899999999999999" customHeight="1" x14ac:dyDescent="0.25">
      <c r="B984" s="23"/>
      <c r="C984" s="2" t="s">
        <v>671</v>
      </c>
      <c r="D984" s="45" t="s">
        <v>856</v>
      </c>
      <c r="E984" s="46"/>
      <c r="F984" s="46"/>
      <c r="G984" s="46"/>
      <c r="H984" s="46"/>
      <c r="I984" s="47"/>
    </row>
    <row r="985" spans="2:9" ht="19.899999999999999" customHeight="1" x14ac:dyDescent="0.25">
      <c r="B985" s="23"/>
      <c r="C985" s="2" t="s">
        <v>680</v>
      </c>
      <c r="D985" s="45" t="s">
        <v>857</v>
      </c>
      <c r="E985" s="46"/>
      <c r="F985" s="46"/>
      <c r="G985" s="46"/>
      <c r="H985" s="46"/>
      <c r="I985" s="47"/>
    </row>
    <row r="986" spans="2:9" ht="19.899999999999999" customHeight="1" x14ac:dyDescent="0.25">
      <c r="B986" s="23"/>
      <c r="C986" s="2" t="s">
        <v>690</v>
      </c>
      <c r="D986" s="45" t="s">
        <v>858</v>
      </c>
      <c r="E986" s="46"/>
      <c r="F986" s="46"/>
      <c r="G986" s="46"/>
      <c r="H986" s="46"/>
      <c r="I986" s="47"/>
    </row>
    <row r="987" spans="2:9" ht="19.899999999999999" customHeight="1" x14ac:dyDescent="0.25">
      <c r="B987" s="23"/>
      <c r="C987" s="2" t="s">
        <v>692</v>
      </c>
      <c r="D987" s="45" t="s">
        <v>859</v>
      </c>
      <c r="E987" s="46"/>
      <c r="F987" s="46"/>
      <c r="G987" s="46"/>
      <c r="H987" s="46"/>
      <c r="I987" s="47"/>
    </row>
    <row r="988" spans="2:9" ht="19.899999999999999" customHeight="1" x14ac:dyDescent="0.25">
      <c r="B988" s="23"/>
      <c r="C988" s="2" t="s">
        <v>829</v>
      </c>
      <c r="D988" s="45" t="s">
        <v>860</v>
      </c>
      <c r="E988" s="46"/>
      <c r="F988" s="46"/>
      <c r="G988" s="46"/>
      <c r="H988" s="46"/>
      <c r="I988" s="47"/>
    </row>
    <row r="989" spans="2:9" x14ac:dyDescent="0.25">
      <c r="B989" s="23"/>
      <c r="I989" s="26"/>
    </row>
    <row r="990" spans="2:9" x14ac:dyDescent="0.25">
      <c r="B990" s="23"/>
      <c r="C990" s="51" t="s">
        <v>55</v>
      </c>
      <c r="D990" s="46"/>
      <c r="E990" s="46"/>
      <c r="F990" s="46"/>
      <c r="G990" s="46"/>
      <c r="H990" s="46"/>
      <c r="I990" s="47"/>
    </row>
    <row r="991" spans="2:9" x14ac:dyDescent="0.25">
      <c r="B991" s="23"/>
      <c r="I991" s="26"/>
    </row>
    <row r="992" spans="2:9" ht="19.899999999999999" customHeight="1" x14ac:dyDescent="0.25">
      <c r="B992" s="24" t="s">
        <v>861</v>
      </c>
      <c r="C992" s="18" t="s">
        <v>49</v>
      </c>
      <c r="D992" s="52" t="s">
        <v>862</v>
      </c>
      <c r="E992" s="53"/>
      <c r="F992" s="53"/>
      <c r="G992" s="53"/>
      <c r="H992" s="53"/>
      <c r="I992" s="54"/>
    </row>
    <row r="993" spans="2:9" ht="19.899999999999999" customHeight="1" x14ac:dyDescent="0.25">
      <c r="B993" s="23"/>
      <c r="C993" s="2" t="s">
        <v>851</v>
      </c>
      <c r="D993" s="45" t="s">
        <v>470</v>
      </c>
      <c r="E993" s="46"/>
      <c r="F993" s="46"/>
      <c r="G993" s="46"/>
      <c r="H993" s="46"/>
      <c r="I993" s="47"/>
    </row>
    <row r="994" spans="2:9" ht="19.899999999999999" customHeight="1" x14ac:dyDescent="0.25">
      <c r="B994" s="23"/>
      <c r="C994" s="2" t="s">
        <v>657</v>
      </c>
      <c r="D994" s="45" t="s">
        <v>863</v>
      </c>
      <c r="E994" s="46"/>
      <c r="F994" s="46"/>
      <c r="G994" s="46"/>
      <c r="H994" s="46"/>
      <c r="I994" s="47"/>
    </row>
    <row r="995" spans="2:9" ht="19.899999999999999" customHeight="1" x14ac:dyDescent="0.25">
      <c r="B995" s="23"/>
      <c r="C995" s="2" t="s">
        <v>659</v>
      </c>
      <c r="D995" s="45" t="s">
        <v>864</v>
      </c>
      <c r="E995" s="46"/>
      <c r="F995" s="46"/>
      <c r="G995" s="46"/>
      <c r="H995" s="46"/>
      <c r="I995" s="47"/>
    </row>
    <row r="996" spans="2:9" ht="19.899999999999999" customHeight="1" x14ac:dyDescent="0.25">
      <c r="B996" s="23"/>
      <c r="C996" s="2" t="s">
        <v>661</v>
      </c>
      <c r="D996" s="45" t="s">
        <v>865</v>
      </c>
      <c r="E996" s="46"/>
      <c r="F996" s="46"/>
      <c r="G996" s="46"/>
      <c r="H996" s="46"/>
      <c r="I996" s="47"/>
    </row>
    <row r="997" spans="2:9" ht="19.899999999999999" customHeight="1" x14ac:dyDescent="0.25">
      <c r="B997" s="23"/>
      <c r="C997" s="2" t="s">
        <v>663</v>
      </c>
      <c r="D997" s="45" t="s">
        <v>866</v>
      </c>
      <c r="E997" s="46"/>
      <c r="F997" s="46"/>
      <c r="G997" s="46"/>
      <c r="H997" s="46"/>
      <c r="I997" s="47"/>
    </row>
    <row r="998" spans="2:9" ht="19.899999999999999" customHeight="1" x14ac:dyDescent="0.25">
      <c r="B998" s="23"/>
      <c r="C998" s="2" t="s">
        <v>671</v>
      </c>
      <c r="D998" s="45" t="s">
        <v>867</v>
      </c>
      <c r="E998" s="46"/>
      <c r="F998" s="46"/>
      <c r="G998" s="46"/>
      <c r="H998" s="46"/>
      <c r="I998" s="47"/>
    </row>
    <row r="999" spans="2:9" x14ac:dyDescent="0.25">
      <c r="B999" s="23"/>
      <c r="I999" s="26"/>
    </row>
    <row r="1000" spans="2:9" x14ac:dyDescent="0.25">
      <c r="B1000" s="23"/>
      <c r="C1000" s="51" t="s">
        <v>55</v>
      </c>
      <c r="D1000" s="46"/>
      <c r="E1000" s="46"/>
      <c r="F1000" s="46"/>
      <c r="G1000" s="46"/>
      <c r="H1000" s="46"/>
      <c r="I1000" s="47"/>
    </row>
    <row r="1001" spans="2:9" x14ac:dyDescent="0.25">
      <c r="B1001" s="23"/>
      <c r="I1001" s="26"/>
    </row>
    <row r="1002" spans="2:9" ht="19.899999999999999" customHeight="1" x14ac:dyDescent="0.25">
      <c r="B1002" s="24" t="s">
        <v>868</v>
      </c>
      <c r="C1002" s="19" t="s">
        <v>220</v>
      </c>
      <c r="D1002" s="52" t="s">
        <v>869</v>
      </c>
      <c r="E1002" s="53"/>
      <c r="F1002" s="53"/>
      <c r="G1002" s="53"/>
      <c r="H1002" s="53"/>
      <c r="I1002" s="54"/>
    </row>
    <row r="1003" spans="2:9" x14ac:dyDescent="0.25">
      <c r="B1003" s="23"/>
      <c r="C1003" s="2" t="s">
        <v>222</v>
      </c>
      <c r="I1003" s="26"/>
    </row>
    <row r="1004" spans="2:9" x14ac:dyDescent="0.25">
      <c r="B1004" s="23"/>
      <c r="I1004" s="26"/>
    </row>
    <row r="1005" spans="2:9" x14ac:dyDescent="0.25">
      <c r="B1005" s="23"/>
      <c r="C1005" s="55" t="s">
        <v>60</v>
      </c>
      <c r="D1005" s="46"/>
      <c r="E1005" s="46"/>
      <c r="F1005" s="46"/>
      <c r="G1005" s="46"/>
      <c r="H1005" s="46"/>
      <c r="I1005" s="47"/>
    </row>
    <row r="1006" spans="2:9" x14ac:dyDescent="0.25">
      <c r="B1006" s="23"/>
      <c r="C1006" s="67" t="str">
        <f>HYPERLINK("#'Json-dokumentation'!A3421", "Fotnot: (**)")</f>
        <v>Fotnot: (**)</v>
      </c>
      <c r="D1006" s="46"/>
      <c r="E1006" s="46"/>
      <c r="F1006" s="46"/>
      <c r="G1006" s="46"/>
      <c r="H1006" s="46"/>
      <c r="I1006" s="47"/>
    </row>
    <row r="1007" spans="2:9" x14ac:dyDescent="0.25">
      <c r="B1007" s="23"/>
      <c r="I1007" s="26"/>
    </row>
    <row r="1008" spans="2:9" ht="19.899999999999999" customHeight="1" x14ac:dyDescent="0.25">
      <c r="B1008" s="24" t="s">
        <v>870</v>
      </c>
      <c r="C1008" s="19" t="s">
        <v>220</v>
      </c>
      <c r="D1008" s="52" t="s">
        <v>871</v>
      </c>
      <c r="E1008" s="53"/>
      <c r="F1008" s="53"/>
      <c r="G1008" s="53"/>
      <c r="H1008" s="53"/>
      <c r="I1008" s="54"/>
    </row>
    <row r="1009" spans="2:9" x14ac:dyDescent="0.25">
      <c r="B1009" s="23"/>
      <c r="C1009" s="2" t="s">
        <v>222</v>
      </c>
      <c r="I1009" s="26"/>
    </row>
    <row r="1010" spans="2:9" x14ac:dyDescent="0.25">
      <c r="B1010" s="23"/>
      <c r="I1010" s="26"/>
    </row>
    <row r="1011" spans="2:9" x14ac:dyDescent="0.25">
      <c r="B1011" s="23"/>
      <c r="C1011" s="51" t="s">
        <v>55</v>
      </c>
      <c r="D1011" s="46"/>
      <c r="E1011" s="46"/>
      <c r="F1011" s="46"/>
      <c r="G1011" s="46"/>
      <c r="H1011" s="46"/>
      <c r="I1011" s="47"/>
    </row>
    <row r="1012" spans="2:9" x14ac:dyDescent="0.25">
      <c r="B1012" s="23"/>
      <c r="I1012" s="26"/>
    </row>
    <row r="1013" spans="2:9" ht="19.899999999999999" customHeight="1" x14ac:dyDescent="0.25">
      <c r="B1013" s="24" t="s">
        <v>872</v>
      </c>
      <c r="C1013" s="18" t="s">
        <v>49</v>
      </c>
      <c r="D1013" s="52" t="s">
        <v>873</v>
      </c>
      <c r="E1013" s="53"/>
      <c r="F1013" s="53"/>
      <c r="G1013" s="53"/>
      <c r="H1013" s="53"/>
      <c r="I1013" s="54"/>
    </row>
    <row r="1014" spans="2:9" ht="19.899999999999999" customHeight="1" x14ac:dyDescent="0.25">
      <c r="B1014" s="23"/>
      <c r="C1014" s="2" t="s">
        <v>874</v>
      </c>
      <c r="D1014" s="45" t="s">
        <v>875</v>
      </c>
      <c r="E1014" s="46"/>
      <c r="F1014" s="46"/>
      <c r="G1014" s="46"/>
      <c r="H1014" s="46"/>
      <c r="I1014" s="47"/>
    </row>
    <row r="1015" spans="2:9" ht="19.899999999999999" customHeight="1" x14ac:dyDescent="0.25">
      <c r="B1015" s="23"/>
      <c r="C1015" s="2" t="s">
        <v>876</v>
      </c>
      <c r="D1015" s="45" t="s">
        <v>877</v>
      </c>
      <c r="E1015" s="46"/>
      <c r="F1015" s="46"/>
      <c r="G1015" s="46"/>
      <c r="H1015" s="46"/>
      <c r="I1015" s="47"/>
    </row>
    <row r="1016" spans="2:9" ht="19.899999999999999" customHeight="1" x14ac:dyDescent="0.25">
      <c r="B1016" s="23"/>
      <c r="C1016" s="2" t="s">
        <v>852</v>
      </c>
      <c r="D1016" s="45" t="s">
        <v>878</v>
      </c>
      <c r="E1016" s="46"/>
      <c r="F1016" s="46"/>
      <c r="G1016" s="46"/>
      <c r="H1016" s="46"/>
      <c r="I1016" s="47"/>
    </row>
    <row r="1017" spans="2:9" ht="19.899999999999999" customHeight="1" x14ac:dyDescent="0.25">
      <c r="B1017" s="23"/>
      <c r="C1017" s="2" t="s">
        <v>879</v>
      </c>
      <c r="D1017" s="45" t="s">
        <v>880</v>
      </c>
      <c r="E1017" s="46"/>
      <c r="F1017" s="46"/>
      <c r="G1017" s="46"/>
      <c r="H1017" s="46"/>
      <c r="I1017" s="47"/>
    </row>
    <row r="1018" spans="2:9" x14ac:dyDescent="0.25">
      <c r="B1018" s="23"/>
      <c r="I1018" s="26"/>
    </row>
    <row r="1019" spans="2:9" x14ac:dyDescent="0.25">
      <c r="B1019" s="23"/>
      <c r="C1019" s="55" t="s">
        <v>60</v>
      </c>
      <c r="D1019" s="46"/>
      <c r="E1019" s="46"/>
      <c r="F1019" s="46"/>
      <c r="G1019" s="46"/>
      <c r="H1019" s="46"/>
      <c r="I1019" s="47"/>
    </row>
    <row r="1020" spans="2:9" x14ac:dyDescent="0.25">
      <c r="B1020" s="23"/>
      <c r="I1020" s="26"/>
    </row>
    <row r="1021" spans="2:9" ht="19.899999999999999" customHeight="1" x14ac:dyDescent="0.25">
      <c r="B1021" s="24" t="s">
        <v>721</v>
      </c>
      <c r="C1021" s="19" t="s">
        <v>182</v>
      </c>
      <c r="D1021" s="52" t="s">
        <v>881</v>
      </c>
      <c r="E1021" s="53"/>
      <c r="F1021" s="53"/>
      <c r="G1021" s="53"/>
      <c r="H1021" s="53"/>
      <c r="I1021" s="54"/>
    </row>
    <row r="1022" spans="2:9" x14ac:dyDescent="0.25">
      <c r="B1022" s="23"/>
      <c r="C1022" s="2" t="s">
        <v>708</v>
      </c>
      <c r="I1022" s="26"/>
    </row>
    <row r="1023" spans="2:9" x14ac:dyDescent="0.25">
      <c r="B1023" s="23"/>
      <c r="C1023" s="2" t="s">
        <v>723</v>
      </c>
      <c r="I1023" s="26"/>
    </row>
    <row r="1024" spans="2:9" x14ac:dyDescent="0.25">
      <c r="B1024" s="23"/>
      <c r="I1024" s="26"/>
    </row>
    <row r="1025" spans="2:9" x14ac:dyDescent="0.25">
      <c r="B1025" s="23"/>
      <c r="C1025" s="55" t="s">
        <v>60</v>
      </c>
      <c r="D1025" s="46"/>
      <c r="E1025" s="46"/>
      <c r="F1025" s="46"/>
      <c r="G1025" s="46"/>
      <c r="H1025" s="46"/>
      <c r="I1025" s="47"/>
    </row>
    <row r="1026" spans="2:9" x14ac:dyDescent="0.25">
      <c r="B1026" s="23"/>
      <c r="I1026" s="26"/>
    </row>
    <row r="1027" spans="2:9" ht="19.899999999999999" customHeight="1" x14ac:dyDescent="0.25">
      <c r="B1027" s="24" t="s">
        <v>804</v>
      </c>
      <c r="C1027" s="19" t="s">
        <v>695</v>
      </c>
      <c r="D1027" s="52" t="s">
        <v>882</v>
      </c>
      <c r="E1027" s="53"/>
      <c r="F1027" s="53"/>
      <c r="G1027" s="53"/>
      <c r="H1027" s="53"/>
      <c r="I1027" s="54"/>
    </row>
    <row r="1028" spans="2:9" x14ac:dyDescent="0.25">
      <c r="B1028" s="23"/>
      <c r="C1028" s="2" t="s">
        <v>806</v>
      </c>
      <c r="I1028" s="26"/>
    </row>
    <row r="1029" spans="2:9" x14ac:dyDescent="0.25">
      <c r="B1029" s="23"/>
      <c r="C1029" s="2" t="s">
        <v>807</v>
      </c>
      <c r="I1029" s="26"/>
    </row>
    <row r="1030" spans="2:9" x14ac:dyDescent="0.25">
      <c r="B1030" s="23"/>
      <c r="I1030" s="26"/>
    </row>
    <row r="1031" spans="2:9" x14ac:dyDescent="0.25">
      <c r="B1031" s="23"/>
      <c r="C1031" s="55" t="s">
        <v>60</v>
      </c>
      <c r="D1031" s="46"/>
      <c r="E1031" s="46"/>
      <c r="F1031" s="46"/>
      <c r="G1031" s="46"/>
      <c r="H1031" s="46"/>
      <c r="I1031" s="47"/>
    </row>
    <row r="1032" spans="2:9" x14ac:dyDescent="0.25">
      <c r="B1032" s="23"/>
      <c r="C1032" s="67" t="str">
        <f>HYPERLINK("#'Json-dokumentation'!A3421", "Fotnot: (**)")</f>
        <v>Fotnot: (**)</v>
      </c>
      <c r="D1032" s="46"/>
      <c r="E1032" s="46"/>
      <c r="F1032" s="46"/>
      <c r="G1032" s="46"/>
      <c r="H1032" s="46"/>
      <c r="I1032" s="47"/>
    </row>
    <row r="1033" spans="2:9" x14ac:dyDescent="0.25">
      <c r="B1033" s="23"/>
      <c r="I1033" s="26"/>
    </row>
    <row r="1034" spans="2:9" ht="19.899999999999999" customHeight="1" x14ac:dyDescent="0.25">
      <c r="B1034" s="24" t="s">
        <v>724</v>
      </c>
      <c r="C1034" s="19" t="s">
        <v>182</v>
      </c>
      <c r="D1034" s="52" t="s">
        <v>883</v>
      </c>
      <c r="E1034" s="53"/>
      <c r="F1034" s="53"/>
      <c r="G1034" s="53"/>
      <c r="H1034" s="53"/>
      <c r="I1034" s="54"/>
    </row>
    <row r="1035" spans="2:9" x14ac:dyDescent="0.25">
      <c r="B1035" s="23"/>
      <c r="C1035" s="2" t="s">
        <v>726</v>
      </c>
      <c r="I1035" s="26"/>
    </row>
    <row r="1036" spans="2:9" x14ac:dyDescent="0.25">
      <c r="B1036" s="23"/>
      <c r="C1036" s="2" t="s">
        <v>727</v>
      </c>
      <c r="I1036" s="26"/>
    </row>
    <row r="1037" spans="2:9" x14ac:dyDescent="0.25">
      <c r="B1037" s="23"/>
      <c r="I1037" s="26"/>
    </row>
    <row r="1038" spans="2:9" x14ac:dyDescent="0.25">
      <c r="B1038" s="23"/>
      <c r="C1038" s="55" t="s">
        <v>60</v>
      </c>
      <c r="D1038" s="46"/>
      <c r="E1038" s="46"/>
      <c r="F1038" s="46"/>
      <c r="G1038" s="46"/>
      <c r="H1038" s="46"/>
      <c r="I1038" s="47"/>
    </row>
    <row r="1039" spans="2:9" x14ac:dyDescent="0.25">
      <c r="B1039" s="23"/>
      <c r="C1039" s="67" t="str">
        <f>HYPERLINK("#'Json-dokumentation'!A3421", "Fotnot: (**)")</f>
        <v>Fotnot: (**)</v>
      </c>
      <c r="D1039" s="46"/>
      <c r="E1039" s="46"/>
      <c r="F1039" s="46"/>
      <c r="G1039" s="46"/>
      <c r="H1039" s="46"/>
      <c r="I1039" s="47"/>
    </row>
    <row r="1040" spans="2:9" x14ac:dyDescent="0.25">
      <c r="B1040" s="23"/>
      <c r="I1040" s="26"/>
    </row>
    <row r="1041" spans="2:9" ht="19.899999999999999" customHeight="1" x14ac:dyDescent="0.25">
      <c r="B1041" s="24" t="s">
        <v>728</v>
      </c>
      <c r="C1041" s="19" t="s">
        <v>695</v>
      </c>
      <c r="D1041" s="52" t="s">
        <v>884</v>
      </c>
      <c r="E1041" s="53"/>
      <c r="F1041" s="53"/>
      <c r="G1041" s="53"/>
      <c r="H1041" s="53"/>
      <c r="I1041" s="54"/>
    </row>
    <row r="1042" spans="2:9" x14ac:dyDescent="0.25">
      <c r="B1042" s="23"/>
      <c r="C1042" s="2" t="s">
        <v>885</v>
      </c>
      <c r="I1042" s="26"/>
    </row>
    <row r="1043" spans="2:9" x14ac:dyDescent="0.25">
      <c r="B1043" s="23"/>
      <c r="C1043" s="2" t="s">
        <v>886</v>
      </c>
      <c r="I1043" s="26"/>
    </row>
    <row r="1044" spans="2:9" x14ac:dyDescent="0.25">
      <c r="B1044" s="23"/>
      <c r="I1044" s="26"/>
    </row>
    <row r="1045" spans="2:9" x14ac:dyDescent="0.25">
      <c r="B1045" s="23"/>
      <c r="C1045" s="55" t="s">
        <v>60</v>
      </c>
      <c r="D1045" s="46"/>
      <c r="E1045" s="46"/>
      <c r="F1045" s="46"/>
      <c r="G1045" s="46"/>
      <c r="H1045" s="46"/>
      <c r="I1045" s="47"/>
    </row>
    <row r="1046" spans="2:9" x14ac:dyDescent="0.25">
      <c r="B1046" s="23"/>
      <c r="C1046" s="67" t="str">
        <f>HYPERLINK("#'Json-dokumentation'!A3421", "Fotnot: (**)")</f>
        <v>Fotnot: (**)</v>
      </c>
      <c r="D1046" s="46"/>
      <c r="E1046" s="46"/>
      <c r="F1046" s="46"/>
      <c r="G1046" s="46"/>
      <c r="H1046" s="46"/>
      <c r="I1046" s="47"/>
    </row>
    <row r="1047" spans="2:9" x14ac:dyDescent="0.25">
      <c r="B1047" s="25"/>
      <c r="C1047" s="21"/>
      <c r="D1047" s="21"/>
      <c r="E1047" s="21"/>
      <c r="F1047" s="21"/>
      <c r="G1047" s="21"/>
      <c r="H1047" s="21"/>
      <c r="I1047" s="27"/>
    </row>
    <row r="1049" spans="2:9" x14ac:dyDescent="0.25">
      <c r="B1049" s="3" t="s">
        <v>734</v>
      </c>
    </row>
    <row r="1051" spans="2:9" x14ac:dyDescent="0.25">
      <c r="B1051" s="3" t="s">
        <v>82</v>
      </c>
    </row>
    <row r="1052" spans="2:9" ht="19.899999999999999" customHeight="1" x14ac:dyDescent="0.25">
      <c r="B1052" s="29" t="s">
        <v>887</v>
      </c>
      <c r="C1052" s="42" t="s">
        <v>888</v>
      </c>
      <c r="D1052" s="43"/>
      <c r="E1052" s="43"/>
      <c r="F1052" s="43"/>
      <c r="G1052" s="43"/>
      <c r="H1052" s="43"/>
      <c r="I1052" s="44"/>
    </row>
    <row r="1053" spans="2:9" ht="19.899999999999999" customHeight="1" x14ac:dyDescent="0.25">
      <c r="B1053" s="30" t="s">
        <v>889</v>
      </c>
      <c r="C1053" s="52" t="s">
        <v>890</v>
      </c>
      <c r="D1053" s="53"/>
      <c r="E1053" s="46"/>
      <c r="F1053" s="46"/>
      <c r="G1053" s="46"/>
      <c r="H1053" s="46"/>
      <c r="I1053" s="47"/>
    </row>
    <row r="1054" spans="2:9" ht="19.899999999999999" customHeight="1" x14ac:dyDescent="0.25">
      <c r="B1054" s="30" t="s">
        <v>891</v>
      </c>
      <c r="C1054" s="52" t="s">
        <v>892</v>
      </c>
      <c r="D1054" s="53"/>
      <c r="E1054" s="46"/>
      <c r="F1054" s="46"/>
      <c r="G1054" s="46"/>
      <c r="H1054" s="46"/>
      <c r="I1054" s="47"/>
    </row>
    <row r="1055" spans="2:9" ht="19.899999999999999" customHeight="1" x14ac:dyDescent="0.25">
      <c r="B1055" s="31" t="s">
        <v>893</v>
      </c>
      <c r="C1055" s="59" t="s">
        <v>894</v>
      </c>
      <c r="D1055" s="60"/>
      <c r="E1055" s="49"/>
      <c r="F1055" s="49"/>
      <c r="G1055" s="49"/>
      <c r="H1055" s="49"/>
      <c r="I1055" s="50"/>
    </row>
    <row r="1059" spans="1:9" ht="19.899999999999999" customHeight="1" x14ac:dyDescent="0.25">
      <c r="A1059" s="45" t="s">
        <v>13</v>
      </c>
      <c r="B1059" s="46"/>
      <c r="C1059" s="46"/>
      <c r="D1059" s="46"/>
      <c r="E1059" s="46"/>
      <c r="F1059" s="46"/>
      <c r="G1059" s="46"/>
      <c r="H1059" s="46"/>
      <c r="I1059" s="46"/>
    </row>
    <row r="1060" spans="1:9" ht="18.75" x14ac:dyDescent="0.25">
      <c r="A1060" s="16" t="s">
        <v>895</v>
      </c>
      <c r="B1060" s="3" t="s">
        <v>47</v>
      </c>
    </row>
    <row r="1061" spans="1:9" ht="19.899999999999999" customHeight="1" x14ac:dyDescent="0.25">
      <c r="B1061" s="22" t="s">
        <v>287</v>
      </c>
      <c r="C1061" s="32" t="s">
        <v>220</v>
      </c>
      <c r="D1061" s="42" t="s">
        <v>844</v>
      </c>
      <c r="E1061" s="43"/>
      <c r="F1061" s="43"/>
      <c r="G1061" s="43"/>
      <c r="H1061" s="43"/>
      <c r="I1061" s="44"/>
    </row>
    <row r="1062" spans="1:9" x14ac:dyDescent="0.25">
      <c r="B1062" s="23"/>
      <c r="C1062" s="2" t="s">
        <v>222</v>
      </c>
      <c r="I1062" s="26"/>
    </row>
    <row r="1063" spans="1:9" x14ac:dyDescent="0.25">
      <c r="B1063" s="23"/>
      <c r="I1063" s="26"/>
    </row>
    <row r="1064" spans="1:9" x14ac:dyDescent="0.25">
      <c r="B1064" s="23"/>
      <c r="C1064" s="51" t="s">
        <v>55</v>
      </c>
      <c r="D1064" s="46"/>
      <c r="E1064" s="46"/>
      <c r="F1064" s="46"/>
      <c r="G1064" s="46"/>
      <c r="H1064" s="46"/>
      <c r="I1064" s="47"/>
    </row>
    <row r="1065" spans="1:9" x14ac:dyDescent="0.25">
      <c r="B1065" s="23"/>
      <c r="I1065" s="26"/>
    </row>
    <row r="1066" spans="1:9" ht="19.899999999999999" customHeight="1" x14ac:dyDescent="0.25">
      <c r="B1066" s="24" t="s">
        <v>845</v>
      </c>
      <c r="C1066" s="18" t="s">
        <v>49</v>
      </c>
      <c r="D1066" s="52" t="s">
        <v>896</v>
      </c>
      <c r="E1066" s="53"/>
      <c r="F1066" s="53"/>
      <c r="G1066" s="53"/>
      <c r="H1066" s="53"/>
      <c r="I1066" s="54"/>
    </row>
    <row r="1067" spans="1:9" ht="19.899999999999999" customHeight="1" x14ac:dyDescent="0.25">
      <c r="B1067" s="23"/>
      <c r="C1067" s="2" t="s">
        <v>657</v>
      </c>
      <c r="D1067" s="45" t="s">
        <v>897</v>
      </c>
      <c r="E1067" s="46"/>
      <c r="F1067" s="46"/>
      <c r="G1067" s="46"/>
      <c r="H1067" s="46"/>
      <c r="I1067" s="47"/>
    </row>
    <row r="1068" spans="1:9" ht="19.899999999999999" customHeight="1" x14ac:dyDescent="0.25">
      <c r="B1068" s="23"/>
      <c r="C1068" s="2" t="s">
        <v>659</v>
      </c>
      <c r="D1068" s="45" t="s">
        <v>898</v>
      </c>
      <c r="E1068" s="46"/>
      <c r="F1068" s="46"/>
      <c r="G1068" s="46"/>
      <c r="H1068" s="46"/>
      <c r="I1068" s="47"/>
    </row>
    <row r="1069" spans="1:9" ht="19.899999999999999" customHeight="1" x14ac:dyDescent="0.25">
      <c r="B1069" s="23"/>
      <c r="C1069" s="2" t="s">
        <v>661</v>
      </c>
      <c r="D1069" s="45" t="s">
        <v>899</v>
      </c>
      <c r="E1069" s="46"/>
      <c r="F1069" s="46"/>
      <c r="G1069" s="46"/>
      <c r="H1069" s="46"/>
      <c r="I1069" s="47"/>
    </row>
    <row r="1070" spans="1:9" ht="19.899999999999999" customHeight="1" x14ac:dyDescent="0.25">
      <c r="B1070" s="23"/>
      <c r="C1070" s="2" t="s">
        <v>663</v>
      </c>
      <c r="D1070" s="45" t="s">
        <v>289</v>
      </c>
      <c r="E1070" s="46"/>
      <c r="F1070" s="46"/>
      <c r="G1070" s="46"/>
      <c r="H1070" s="46"/>
      <c r="I1070" s="47"/>
    </row>
    <row r="1071" spans="1:9" x14ac:dyDescent="0.25">
      <c r="B1071" s="23"/>
      <c r="I1071" s="26"/>
    </row>
    <row r="1072" spans="1:9" x14ac:dyDescent="0.25">
      <c r="B1072" s="23"/>
      <c r="C1072" s="51" t="s">
        <v>55</v>
      </c>
      <c r="D1072" s="46"/>
      <c r="E1072" s="46"/>
      <c r="F1072" s="46"/>
      <c r="G1072" s="46"/>
      <c r="H1072" s="46"/>
      <c r="I1072" s="47"/>
    </row>
    <row r="1073" spans="2:9" x14ac:dyDescent="0.25">
      <c r="B1073" s="23"/>
      <c r="I1073" s="26"/>
    </row>
    <row r="1074" spans="2:9" ht="19.899999999999999" customHeight="1" x14ac:dyDescent="0.25">
      <c r="B1074" s="24" t="s">
        <v>900</v>
      </c>
      <c r="C1074" s="18" t="s">
        <v>49</v>
      </c>
      <c r="D1074" s="52" t="s">
        <v>901</v>
      </c>
      <c r="E1074" s="53"/>
      <c r="F1074" s="53"/>
      <c r="G1074" s="53"/>
      <c r="H1074" s="53"/>
      <c r="I1074" s="54"/>
    </row>
    <row r="1075" spans="2:9" ht="19.899999999999999" customHeight="1" x14ac:dyDescent="0.25">
      <c r="B1075" s="23"/>
      <c r="C1075" s="2" t="s">
        <v>851</v>
      </c>
      <c r="D1075" s="45" t="s">
        <v>470</v>
      </c>
      <c r="E1075" s="46"/>
      <c r="F1075" s="46"/>
      <c r="G1075" s="46"/>
      <c r="H1075" s="46"/>
      <c r="I1075" s="47"/>
    </row>
    <row r="1076" spans="2:9" ht="19.899999999999999" customHeight="1" x14ac:dyDescent="0.25">
      <c r="B1076" s="23"/>
      <c r="C1076" s="2" t="s">
        <v>657</v>
      </c>
      <c r="D1076" s="45" t="s">
        <v>902</v>
      </c>
      <c r="E1076" s="46"/>
      <c r="F1076" s="46"/>
      <c r="G1076" s="46"/>
      <c r="H1076" s="46"/>
      <c r="I1076" s="47"/>
    </row>
    <row r="1077" spans="2:9" ht="19.899999999999999" customHeight="1" x14ac:dyDescent="0.25">
      <c r="B1077" s="23"/>
      <c r="C1077" s="2" t="s">
        <v>659</v>
      </c>
      <c r="D1077" s="45" t="s">
        <v>853</v>
      </c>
      <c r="E1077" s="46"/>
      <c r="F1077" s="46"/>
      <c r="G1077" s="46"/>
      <c r="H1077" s="46"/>
      <c r="I1077" s="47"/>
    </row>
    <row r="1078" spans="2:9" ht="19.899999999999999" customHeight="1" x14ac:dyDescent="0.25">
      <c r="B1078" s="23"/>
      <c r="C1078" s="2" t="s">
        <v>661</v>
      </c>
      <c r="D1078" s="45" t="s">
        <v>854</v>
      </c>
      <c r="E1078" s="46"/>
      <c r="F1078" s="46"/>
      <c r="G1078" s="46"/>
      <c r="H1078" s="46"/>
      <c r="I1078" s="47"/>
    </row>
    <row r="1079" spans="2:9" ht="19.899999999999999" customHeight="1" x14ac:dyDescent="0.25">
      <c r="B1079" s="23"/>
      <c r="C1079" s="2" t="s">
        <v>663</v>
      </c>
      <c r="D1079" s="45" t="s">
        <v>903</v>
      </c>
      <c r="E1079" s="46"/>
      <c r="F1079" s="46"/>
      <c r="G1079" s="46"/>
      <c r="H1079" s="46"/>
      <c r="I1079" s="47"/>
    </row>
    <row r="1080" spans="2:9" ht="19.899999999999999" customHeight="1" x14ac:dyDescent="0.25">
      <c r="B1080" s="23"/>
      <c r="C1080" s="2" t="s">
        <v>671</v>
      </c>
      <c r="D1080" s="45" t="s">
        <v>859</v>
      </c>
      <c r="E1080" s="46"/>
      <c r="F1080" s="46"/>
      <c r="G1080" s="46"/>
      <c r="H1080" s="46"/>
      <c r="I1080" s="47"/>
    </row>
    <row r="1081" spans="2:9" x14ac:dyDescent="0.25">
      <c r="B1081" s="23"/>
      <c r="I1081" s="26"/>
    </row>
    <row r="1082" spans="2:9" x14ac:dyDescent="0.25">
      <c r="B1082" s="23"/>
      <c r="C1082" s="51" t="s">
        <v>55</v>
      </c>
      <c r="D1082" s="46"/>
      <c r="E1082" s="46"/>
      <c r="F1082" s="46"/>
      <c r="G1082" s="46"/>
      <c r="H1082" s="46"/>
      <c r="I1082" s="47"/>
    </row>
    <row r="1083" spans="2:9" x14ac:dyDescent="0.25">
      <c r="B1083" s="23"/>
      <c r="I1083" s="26"/>
    </row>
    <row r="1084" spans="2:9" ht="19.899999999999999" customHeight="1" x14ac:dyDescent="0.25">
      <c r="B1084" s="24" t="s">
        <v>904</v>
      </c>
      <c r="C1084" s="18" t="s">
        <v>49</v>
      </c>
      <c r="D1084" s="52" t="s">
        <v>905</v>
      </c>
      <c r="E1084" s="53"/>
      <c r="F1084" s="53"/>
      <c r="G1084" s="53"/>
      <c r="H1084" s="53"/>
      <c r="I1084" s="54"/>
    </row>
    <row r="1085" spans="2:9" ht="19.899999999999999" customHeight="1" x14ac:dyDescent="0.25">
      <c r="B1085" s="23"/>
      <c r="C1085" s="2" t="s">
        <v>851</v>
      </c>
      <c r="D1085" s="45" t="s">
        <v>470</v>
      </c>
      <c r="E1085" s="46"/>
      <c r="F1085" s="46"/>
      <c r="G1085" s="46"/>
      <c r="H1085" s="46"/>
      <c r="I1085" s="47"/>
    </row>
    <row r="1086" spans="2:9" ht="19.899999999999999" customHeight="1" x14ac:dyDescent="0.25">
      <c r="B1086" s="23"/>
      <c r="C1086" s="2" t="s">
        <v>657</v>
      </c>
      <c r="D1086" s="45" t="s">
        <v>855</v>
      </c>
      <c r="E1086" s="46"/>
      <c r="F1086" s="46"/>
      <c r="G1086" s="46"/>
      <c r="H1086" s="46"/>
      <c r="I1086" s="47"/>
    </row>
    <row r="1087" spans="2:9" ht="19.899999999999999" customHeight="1" x14ac:dyDescent="0.25">
      <c r="B1087" s="23"/>
      <c r="C1087" s="2" t="s">
        <v>659</v>
      </c>
      <c r="D1087" s="45" t="s">
        <v>856</v>
      </c>
      <c r="E1087" s="46"/>
      <c r="F1087" s="46"/>
      <c r="G1087" s="46"/>
      <c r="H1087" s="46"/>
      <c r="I1087" s="47"/>
    </row>
    <row r="1088" spans="2:9" ht="19.899999999999999" customHeight="1" x14ac:dyDescent="0.25">
      <c r="B1088" s="23"/>
      <c r="C1088" s="2" t="s">
        <v>661</v>
      </c>
      <c r="D1088" s="45" t="s">
        <v>857</v>
      </c>
      <c r="E1088" s="46"/>
      <c r="F1088" s="46"/>
      <c r="G1088" s="46"/>
      <c r="H1088" s="46"/>
      <c r="I1088" s="47"/>
    </row>
    <row r="1089" spans="2:9" ht="19.899999999999999" customHeight="1" x14ac:dyDescent="0.25">
      <c r="B1089" s="23"/>
      <c r="C1089" s="2" t="s">
        <v>663</v>
      </c>
      <c r="D1089" s="45" t="s">
        <v>860</v>
      </c>
      <c r="E1089" s="46"/>
      <c r="F1089" s="46"/>
      <c r="G1089" s="46"/>
      <c r="H1089" s="46"/>
      <c r="I1089" s="47"/>
    </row>
    <row r="1090" spans="2:9" ht="19.899999999999999" customHeight="1" x14ac:dyDescent="0.25">
      <c r="B1090" s="23"/>
      <c r="C1090" s="2" t="s">
        <v>671</v>
      </c>
      <c r="D1090" s="45" t="s">
        <v>906</v>
      </c>
      <c r="E1090" s="46"/>
      <c r="F1090" s="46"/>
      <c r="G1090" s="46"/>
      <c r="H1090" s="46"/>
      <c r="I1090" s="47"/>
    </row>
    <row r="1091" spans="2:9" x14ac:dyDescent="0.25">
      <c r="B1091" s="23"/>
      <c r="I1091" s="26"/>
    </row>
    <row r="1092" spans="2:9" x14ac:dyDescent="0.25">
      <c r="B1092" s="23"/>
      <c r="C1092" s="51" t="s">
        <v>55</v>
      </c>
      <c r="D1092" s="46"/>
      <c r="E1092" s="46"/>
      <c r="F1092" s="46"/>
      <c r="G1092" s="46"/>
      <c r="H1092" s="46"/>
      <c r="I1092" s="47"/>
    </row>
    <row r="1093" spans="2:9" x14ac:dyDescent="0.25">
      <c r="B1093" s="23"/>
      <c r="I1093" s="26"/>
    </row>
    <row r="1094" spans="2:9" ht="19.899999999999999" customHeight="1" x14ac:dyDescent="0.25">
      <c r="B1094" s="24" t="s">
        <v>907</v>
      </c>
      <c r="C1094" s="18" t="s">
        <v>49</v>
      </c>
      <c r="D1094" s="52" t="s">
        <v>908</v>
      </c>
      <c r="E1094" s="53"/>
      <c r="F1094" s="53"/>
      <c r="G1094" s="53"/>
      <c r="H1094" s="53"/>
      <c r="I1094" s="54"/>
    </row>
    <row r="1095" spans="2:9" ht="19.899999999999999" customHeight="1" x14ac:dyDescent="0.25">
      <c r="B1095" s="23"/>
      <c r="C1095" s="2" t="s">
        <v>851</v>
      </c>
      <c r="D1095" s="45" t="s">
        <v>471</v>
      </c>
      <c r="E1095" s="46"/>
      <c r="F1095" s="46"/>
      <c r="G1095" s="46"/>
      <c r="H1095" s="46"/>
      <c r="I1095" s="47"/>
    </row>
    <row r="1096" spans="2:9" ht="19.899999999999999" customHeight="1" x14ac:dyDescent="0.25">
      <c r="B1096" s="23"/>
      <c r="C1096" s="2" t="s">
        <v>657</v>
      </c>
      <c r="D1096" s="45" t="s">
        <v>863</v>
      </c>
      <c r="E1096" s="46"/>
      <c r="F1096" s="46"/>
      <c r="G1096" s="46"/>
      <c r="H1096" s="46"/>
      <c r="I1096" s="47"/>
    </row>
    <row r="1097" spans="2:9" ht="19.899999999999999" customHeight="1" x14ac:dyDescent="0.25">
      <c r="B1097" s="23"/>
      <c r="C1097" s="2" t="s">
        <v>659</v>
      </c>
      <c r="D1097" s="45" t="s">
        <v>864</v>
      </c>
      <c r="E1097" s="46"/>
      <c r="F1097" s="46"/>
      <c r="G1097" s="46"/>
      <c r="H1097" s="46"/>
      <c r="I1097" s="47"/>
    </row>
    <row r="1098" spans="2:9" ht="19.899999999999999" customHeight="1" x14ac:dyDescent="0.25">
      <c r="B1098" s="23"/>
      <c r="C1098" s="2" t="s">
        <v>661</v>
      </c>
      <c r="D1098" s="45" t="s">
        <v>865</v>
      </c>
      <c r="E1098" s="46"/>
      <c r="F1098" s="46"/>
      <c r="G1098" s="46"/>
      <c r="H1098" s="46"/>
      <c r="I1098" s="47"/>
    </row>
    <row r="1099" spans="2:9" ht="19.899999999999999" customHeight="1" x14ac:dyDescent="0.25">
      <c r="B1099" s="23"/>
      <c r="C1099" s="2" t="s">
        <v>663</v>
      </c>
      <c r="D1099" s="45" t="s">
        <v>866</v>
      </c>
      <c r="E1099" s="46"/>
      <c r="F1099" s="46"/>
      <c r="G1099" s="46"/>
      <c r="H1099" s="46"/>
      <c r="I1099" s="47"/>
    </row>
    <row r="1100" spans="2:9" ht="19.899999999999999" customHeight="1" x14ac:dyDescent="0.25">
      <c r="B1100" s="23"/>
      <c r="C1100" s="2" t="s">
        <v>671</v>
      </c>
      <c r="D1100" s="45" t="s">
        <v>867</v>
      </c>
      <c r="E1100" s="46"/>
      <c r="F1100" s="46"/>
      <c r="G1100" s="46"/>
      <c r="H1100" s="46"/>
      <c r="I1100" s="47"/>
    </row>
    <row r="1101" spans="2:9" ht="19.899999999999999" customHeight="1" x14ac:dyDescent="0.25">
      <c r="B1101" s="23"/>
      <c r="C1101" s="2" t="s">
        <v>680</v>
      </c>
      <c r="D1101" s="45" t="s">
        <v>909</v>
      </c>
      <c r="E1101" s="46"/>
      <c r="F1101" s="46"/>
      <c r="G1101" s="46"/>
      <c r="H1101" s="46"/>
      <c r="I1101" s="47"/>
    </row>
    <row r="1102" spans="2:9" x14ac:dyDescent="0.25">
      <c r="B1102" s="23"/>
      <c r="I1102" s="26"/>
    </row>
    <row r="1103" spans="2:9" x14ac:dyDescent="0.25">
      <c r="B1103" s="23"/>
      <c r="C1103" s="51" t="s">
        <v>55</v>
      </c>
      <c r="D1103" s="46"/>
      <c r="E1103" s="46"/>
      <c r="F1103" s="46"/>
      <c r="G1103" s="46"/>
      <c r="H1103" s="46"/>
      <c r="I1103" s="47"/>
    </row>
    <row r="1104" spans="2:9" x14ac:dyDescent="0.25">
      <c r="B1104" s="23"/>
      <c r="I1104" s="26"/>
    </row>
    <row r="1105" spans="2:9" ht="150.19999999999999" customHeight="1" x14ac:dyDescent="0.25">
      <c r="B1105" s="24" t="s">
        <v>910</v>
      </c>
      <c r="C1105" s="19" t="s">
        <v>220</v>
      </c>
      <c r="D1105" s="52" t="s">
        <v>911</v>
      </c>
      <c r="E1105" s="53"/>
      <c r="F1105" s="53"/>
      <c r="G1105" s="53"/>
      <c r="H1105" s="53"/>
      <c r="I1105" s="54"/>
    </row>
    <row r="1106" spans="2:9" x14ac:dyDescent="0.25">
      <c r="B1106" s="23"/>
      <c r="C1106" s="2" t="s">
        <v>222</v>
      </c>
      <c r="I1106" s="26"/>
    </row>
    <row r="1107" spans="2:9" x14ac:dyDescent="0.25">
      <c r="B1107" s="23"/>
      <c r="I1107" s="26"/>
    </row>
    <row r="1108" spans="2:9" x14ac:dyDescent="0.25">
      <c r="B1108" s="23"/>
      <c r="C1108" s="55" t="s">
        <v>60</v>
      </c>
      <c r="D1108" s="46"/>
      <c r="E1108" s="46"/>
      <c r="F1108" s="46"/>
      <c r="G1108" s="46"/>
      <c r="H1108" s="46"/>
      <c r="I1108" s="47"/>
    </row>
    <row r="1109" spans="2:9" x14ac:dyDescent="0.25">
      <c r="B1109" s="23"/>
      <c r="C1109" s="67" t="str">
        <f>HYPERLINK("#'Json-dokumentation'!A3421", "Fotnot: (**)")</f>
        <v>Fotnot: (**)</v>
      </c>
      <c r="D1109" s="46"/>
      <c r="E1109" s="46"/>
      <c r="F1109" s="46"/>
      <c r="G1109" s="46"/>
      <c r="H1109" s="46"/>
      <c r="I1109" s="47"/>
    </row>
    <row r="1110" spans="2:9" x14ac:dyDescent="0.25">
      <c r="B1110" s="23"/>
      <c r="I1110" s="26"/>
    </row>
    <row r="1111" spans="2:9" ht="92.25" customHeight="1" x14ac:dyDescent="0.25">
      <c r="B1111" s="24" t="s">
        <v>912</v>
      </c>
      <c r="C1111" s="19" t="s">
        <v>220</v>
      </c>
      <c r="D1111" s="52" t="s">
        <v>913</v>
      </c>
      <c r="E1111" s="53"/>
      <c r="F1111" s="53"/>
      <c r="G1111" s="53"/>
      <c r="H1111" s="53"/>
      <c r="I1111" s="54"/>
    </row>
    <row r="1112" spans="2:9" x14ac:dyDescent="0.25">
      <c r="B1112" s="23"/>
      <c r="C1112" s="2" t="s">
        <v>222</v>
      </c>
      <c r="I1112" s="26"/>
    </row>
    <row r="1113" spans="2:9" x14ac:dyDescent="0.25">
      <c r="B1113" s="23"/>
      <c r="I1113" s="26"/>
    </row>
    <row r="1114" spans="2:9" x14ac:dyDescent="0.25">
      <c r="B1114" s="23"/>
      <c r="C1114" s="51" t="s">
        <v>55</v>
      </c>
      <c r="D1114" s="46"/>
      <c r="E1114" s="46"/>
      <c r="F1114" s="46"/>
      <c r="G1114" s="46"/>
      <c r="H1114" s="46"/>
      <c r="I1114" s="47"/>
    </row>
    <row r="1115" spans="2:9" x14ac:dyDescent="0.25">
      <c r="B1115" s="23"/>
      <c r="I1115" s="26"/>
    </row>
    <row r="1116" spans="2:9" ht="19.899999999999999" customHeight="1" x14ac:dyDescent="0.25">
      <c r="B1116" s="24" t="s">
        <v>872</v>
      </c>
      <c r="C1116" s="18" t="s">
        <v>49</v>
      </c>
      <c r="D1116" s="52" t="s">
        <v>873</v>
      </c>
      <c r="E1116" s="53"/>
      <c r="F1116" s="53"/>
      <c r="G1116" s="53"/>
      <c r="H1116" s="53"/>
      <c r="I1116" s="54"/>
    </row>
    <row r="1117" spans="2:9" ht="19.899999999999999" customHeight="1" x14ac:dyDescent="0.25">
      <c r="B1117" s="23"/>
      <c r="C1117" s="2" t="s">
        <v>874</v>
      </c>
      <c r="D1117" s="45" t="s">
        <v>875</v>
      </c>
      <c r="E1117" s="46"/>
      <c r="F1117" s="46"/>
      <c r="G1117" s="46"/>
      <c r="H1117" s="46"/>
      <c r="I1117" s="47"/>
    </row>
    <row r="1118" spans="2:9" ht="19.899999999999999" customHeight="1" x14ac:dyDescent="0.25">
      <c r="B1118" s="23"/>
      <c r="C1118" s="2" t="s">
        <v>876</v>
      </c>
      <c r="D1118" s="45" t="s">
        <v>877</v>
      </c>
      <c r="E1118" s="46"/>
      <c r="F1118" s="46"/>
      <c r="G1118" s="46"/>
      <c r="H1118" s="46"/>
      <c r="I1118" s="47"/>
    </row>
    <row r="1119" spans="2:9" ht="19.899999999999999" customHeight="1" x14ac:dyDescent="0.25">
      <c r="B1119" s="23"/>
      <c r="C1119" s="2" t="s">
        <v>852</v>
      </c>
      <c r="D1119" s="45" t="s">
        <v>878</v>
      </c>
      <c r="E1119" s="46"/>
      <c r="F1119" s="46"/>
      <c r="G1119" s="46"/>
      <c r="H1119" s="46"/>
      <c r="I1119" s="47"/>
    </row>
    <row r="1120" spans="2:9" ht="19.899999999999999" customHeight="1" x14ac:dyDescent="0.25">
      <c r="B1120" s="23"/>
      <c r="C1120" s="2" t="s">
        <v>879</v>
      </c>
      <c r="D1120" s="45" t="s">
        <v>880</v>
      </c>
      <c r="E1120" s="46"/>
      <c r="F1120" s="46"/>
      <c r="G1120" s="46"/>
      <c r="H1120" s="46"/>
      <c r="I1120" s="47"/>
    </row>
    <row r="1121" spans="2:9" x14ac:dyDescent="0.25">
      <c r="B1121" s="23"/>
      <c r="I1121" s="26"/>
    </row>
    <row r="1122" spans="2:9" x14ac:dyDescent="0.25">
      <c r="B1122" s="23"/>
      <c r="C1122" s="55" t="s">
        <v>60</v>
      </c>
      <c r="D1122" s="46"/>
      <c r="E1122" s="46"/>
      <c r="F1122" s="46"/>
      <c r="G1122" s="46"/>
      <c r="H1122" s="46"/>
      <c r="I1122" s="47"/>
    </row>
    <row r="1123" spans="2:9" x14ac:dyDescent="0.25">
      <c r="B1123" s="23"/>
      <c r="I1123" s="26"/>
    </row>
    <row r="1124" spans="2:9" ht="19.899999999999999" customHeight="1" x14ac:dyDescent="0.25">
      <c r="B1124" s="24" t="s">
        <v>721</v>
      </c>
      <c r="C1124" s="19" t="s">
        <v>182</v>
      </c>
      <c r="D1124" s="52" t="s">
        <v>881</v>
      </c>
      <c r="E1124" s="53"/>
      <c r="F1124" s="53"/>
      <c r="G1124" s="53"/>
      <c r="H1124" s="53"/>
      <c r="I1124" s="54"/>
    </row>
    <row r="1125" spans="2:9" x14ac:dyDescent="0.25">
      <c r="B1125" s="23"/>
      <c r="C1125" s="2" t="s">
        <v>914</v>
      </c>
      <c r="I1125" s="26"/>
    </row>
    <row r="1126" spans="2:9" x14ac:dyDescent="0.25">
      <c r="B1126" s="23"/>
      <c r="C1126" s="2" t="s">
        <v>723</v>
      </c>
      <c r="I1126" s="26"/>
    </row>
    <row r="1127" spans="2:9" x14ac:dyDescent="0.25">
      <c r="B1127" s="23"/>
      <c r="I1127" s="26"/>
    </row>
    <row r="1128" spans="2:9" x14ac:dyDescent="0.25">
      <c r="B1128" s="23"/>
      <c r="C1128" s="55" t="s">
        <v>60</v>
      </c>
      <c r="D1128" s="46"/>
      <c r="E1128" s="46"/>
      <c r="F1128" s="46"/>
      <c r="G1128" s="46"/>
      <c r="H1128" s="46"/>
      <c r="I1128" s="47"/>
    </row>
    <row r="1129" spans="2:9" x14ac:dyDescent="0.25">
      <c r="B1129" s="23"/>
      <c r="I1129" s="26"/>
    </row>
    <row r="1130" spans="2:9" ht="48.95" customHeight="1" x14ac:dyDescent="0.25">
      <c r="B1130" s="24" t="s">
        <v>804</v>
      </c>
      <c r="C1130" s="19" t="s">
        <v>695</v>
      </c>
      <c r="D1130" s="52" t="s">
        <v>915</v>
      </c>
      <c r="E1130" s="53"/>
      <c r="F1130" s="53"/>
      <c r="G1130" s="53"/>
      <c r="H1130" s="53"/>
      <c r="I1130" s="54"/>
    </row>
    <row r="1131" spans="2:9" x14ac:dyDescent="0.25">
      <c r="B1131" s="23"/>
      <c r="C1131" s="2" t="s">
        <v>806</v>
      </c>
      <c r="I1131" s="26"/>
    </row>
    <row r="1132" spans="2:9" x14ac:dyDescent="0.25">
      <c r="B1132" s="23"/>
      <c r="C1132" s="2" t="s">
        <v>807</v>
      </c>
      <c r="I1132" s="26"/>
    </row>
    <row r="1133" spans="2:9" x14ac:dyDescent="0.25">
      <c r="B1133" s="23"/>
      <c r="I1133" s="26"/>
    </row>
    <row r="1134" spans="2:9" x14ac:dyDescent="0.25">
      <c r="B1134" s="23"/>
      <c r="C1134" s="55" t="s">
        <v>60</v>
      </c>
      <c r="D1134" s="46"/>
      <c r="E1134" s="46"/>
      <c r="F1134" s="46"/>
      <c r="G1134" s="46"/>
      <c r="H1134" s="46"/>
      <c r="I1134" s="47"/>
    </row>
    <row r="1135" spans="2:9" x14ac:dyDescent="0.25">
      <c r="B1135" s="23"/>
      <c r="C1135" s="67" t="str">
        <f>HYPERLINK("#'Json-dokumentation'!A3421", "Fotnot: (**)")</f>
        <v>Fotnot: (**)</v>
      </c>
      <c r="D1135" s="46"/>
      <c r="E1135" s="46"/>
      <c r="F1135" s="46"/>
      <c r="G1135" s="46"/>
      <c r="H1135" s="46"/>
      <c r="I1135" s="47"/>
    </row>
    <row r="1136" spans="2:9" x14ac:dyDescent="0.25">
      <c r="B1136" s="23"/>
      <c r="I1136" s="26"/>
    </row>
    <row r="1137" spans="2:9" ht="63.4" customHeight="1" x14ac:dyDescent="0.25">
      <c r="B1137" s="24" t="s">
        <v>724</v>
      </c>
      <c r="C1137" s="19" t="s">
        <v>182</v>
      </c>
      <c r="D1137" s="52" t="s">
        <v>916</v>
      </c>
      <c r="E1137" s="53"/>
      <c r="F1137" s="53"/>
      <c r="G1137" s="53"/>
      <c r="H1137" s="53"/>
      <c r="I1137" s="54"/>
    </row>
    <row r="1138" spans="2:9" x14ac:dyDescent="0.25">
      <c r="B1138" s="23"/>
      <c r="C1138" s="2" t="s">
        <v>726</v>
      </c>
      <c r="I1138" s="26"/>
    </row>
    <row r="1139" spans="2:9" x14ac:dyDescent="0.25">
      <c r="B1139" s="23"/>
      <c r="C1139" s="2" t="s">
        <v>727</v>
      </c>
      <c r="I1139" s="26"/>
    </row>
    <row r="1140" spans="2:9" x14ac:dyDescent="0.25">
      <c r="B1140" s="23"/>
      <c r="I1140" s="26"/>
    </row>
    <row r="1141" spans="2:9" x14ac:dyDescent="0.25">
      <c r="B1141" s="23"/>
      <c r="C1141" s="55" t="s">
        <v>60</v>
      </c>
      <c r="D1141" s="46"/>
      <c r="E1141" s="46"/>
      <c r="F1141" s="46"/>
      <c r="G1141" s="46"/>
      <c r="H1141" s="46"/>
      <c r="I1141" s="47"/>
    </row>
    <row r="1142" spans="2:9" x14ac:dyDescent="0.25">
      <c r="B1142" s="23"/>
      <c r="C1142" s="67" t="str">
        <f>HYPERLINK("#'Json-dokumentation'!A3421", "Fotnot: (**)")</f>
        <v>Fotnot: (**)</v>
      </c>
      <c r="D1142" s="46"/>
      <c r="E1142" s="46"/>
      <c r="F1142" s="46"/>
      <c r="G1142" s="46"/>
      <c r="H1142" s="46"/>
      <c r="I1142" s="47"/>
    </row>
    <row r="1143" spans="2:9" x14ac:dyDescent="0.25">
      <c r="B1143" s="23"/>
      <c r="I1143" s="26"/>
    </row>
    <row r="1144" spans="2:9" ht="34.35" customHeight="1" x14ac:dyDescent="0.25">
      <c r="B1144" s="24" t="s">
        <v>728</v>
      </c>
      <c r="C1144" s="19" t="s">
        <v>695</v>
      </c>
      <c r="D1144" s="52" t="s">
        <v>917</v>
      </c>
      <c r="E1144" s="53"/>
      <c r="F1144" s="53"/>
      <c r="G1144" s="53"/>
      <c r="H1144" s="53"/>
      <c r="I1144" s="54"/>
    </row>
    <row r="1145" spans="2:9" x14ac:dyDescent="0.25">
      <c r="B1145" s="23"/>
      <c r="C1145" s="2" t="s">
        <v>885</v>
      </c>
      <c r="I1145" s="26"/>
    </row>
    <row r="1146" spans="2:9" x14ac:dyDescent="0.25">
      <c r="B1146" s="23"/>
      <c r="C1146" s="2" t="s">
        <v>886</v>
      </c>
      <c r="I1146" s="26"/>
    </row>
    <row r="1147" spans="2:9" x14ac:dyDescent="0.25">
      <c r="B1147" s="23"/>
      <c r="I1147" s="26"/>
    </row>
    <row r="1148" spans="2:9" x14ac:dyDescent="0.25">
      <c r="B1148" s="23"/>
      <c r="C1148" s="55" t="s">
        <v>60</v>
      </c>
      <c r="D1148" s="46"/>
      <c r="E1148" s="46"/>
      <c r="F1148" s="46"/>
      <c r="G1148" s="46"/>
      <c r="H1148" s="46"/>
      <c r="I1148" s="47"/>
    </row>
    <row r="1149" spans="2:9" x14ac:dyDescent="0.25">
      <c r="B1149" s="23"/>
      <c r="C1149" s="67" t="str">
        <f>HYPERLINK("#'Json-dokumentation'!A3421", "Fotnot: (**)")</f>
        <v>Fotnot: (**)</v>
      </c>
      <c r="D1149" s="46"/>
      <c r="E1149" s="46"/>
      <c r="F1149" s="46"/>
      <c r="G1149" s="46"/>
      <c r="H1149" s="46"/>
      <c r="I1149" s="47"/>
    </row>
    <row r="1150" spans="2:9" x14ac:dyDescent="0.25">
      <c r="B1150" s="23"/>
      <c r="I1150" s="26"/>
    </row>
    <row r="1151" spans="2:9" ht="121.15" customHeight="1" x14ac:dyDescent="0.25">
      <c r="B1151" s="24" t="s">
        <v>918</v>
      </c>
      <c r="C1151" s="19" t="s">
        <v>182</v>
      </c>
      <c r="D1151" s="52" t="s">
        <v>919</v>
      </c>
      <c r="E1151" s="53"/>
      <c r="F1151" s="53"/>
      <c r="G1151" s="53"/>
      <c r="H1151" s="53"/>
      <c r="I1151" s="54"/>
    </row>
    <row r="1152" spans="2:9" x14ac:dyDescent="0.25">
      <c r="B1152" s="23"/>
      <c r="C1152" s="2" t="s">
        <v>885</v>
      </c>
      <c r="I1152" s="26"/>
    </row>
    <row r="1153" spans="2:9" x14ac:dyDescent="0.25">
      <c r="B1153" s="23"/>
      <c r="C1153" s="2" t="s">
        <v>727</v>
      </c>
      <c r="I1153" s="26"/>
    </row>
    <row r="1154" spans="2:9" x14ac:dyDescent="0.25">
      <c r="B1154" s="23"/>
      <c r="I1154" s="26"/>
    </row>
    <row r="1155" spans="2:9" x14ac:dyDescent="0.25">
      <c r="B1155" s="23"/>
      <c r="C1155" s="55" t="s">
        <v>60</v>
      </c>
      <c r="D1155" s="46"/>
      <c r="E1155" s="46"/>
      <c r="F1155" s="46"/>
      <c r="G1155" s="46"/>
      <c r="H1155" s="46"/>
      <c r="I1155" s="47"/>
    </row>
    <row r="1156" spans="2:9" x14ac:dyDescent="0.25">
      <c r="B1156" s="23"/>
      <c r="C1156" s="67" t="str">
        <f>HYPERLINK("#'Json-dokumentation'!A3421", "Fotnot: (**)")</f>
        <v>Fotnot: (**)</v>
      </c>
      <c r="D1156" s="46"/>
      <c r="E1156" s="46"/>
      <c r="F1156" s="46"/>
      <c r="G1156" s="46"/>
      <c r="H1156" s="46"/>
      <c r="I1156" s="47"/>
    </row>
    <row r="1157" spans="2:9" x14ac:dyDescent="0.25">
      <c r="B1157" s="23"/>
      <c r="I1157" s="26"/>
    </row>
    <row r="1158" spans="2:9" ht="19.899999999999999" customHeight="1" x14ac:dyDescent="0.25">
      <c r="B1158" s="24" t="s">
        <v>920</v>
      </c>
      <c r="C1158" s="19" t="s">
        <v>695</v>
      </c>
      <c r="D1158" s="52" t="s">
        <v>921</v>
      </c>
      <c r="E1158" s="53"/>
      <c r="F1158" s="53"/>
      <c r="G1158" s="53"/>
      <c r="H1158" s="53"/>
      <c r="I1158" s="54"/>
    </row>
    <row r="1159" spans="2:9" x14ac:dyDescent="0.25">
      <c r="B1159" s="23"/>
      <c r="C1159" s="2" t="s">
        <v>922</v>
      </c>
      <c r="I1159" s="26"/>
    </row>
    <row r="1160" spans="2:9" x14ac:dyDescent="0.25">
      <c r="B1160" s="23"/>
      <c r="C1160" s="2" t="s">
        <v>807</v>
      </c>
      <c r="I1160" s="26"/>
    </row>
    <row r="1161" spans="2:9" x14ac:dyDescent="0.25">
      <c r="B1161" s="23"/>
      <c r="I1161" s="26"/>
    </row>
    <row r="1162" spans="2:9" x14ac:dyDescent="0.25">
      <c r="B1162" s="23"/>
      <c r="C1162" s="55" t="s">
        <v>60</v>
      </c>
      <c r="D1162" s="46"/>
      <c r="E1162" s="46"/>
      <c r="F1162" s="46"/>
      <c r="G1162" s="46"/>
      <c r="H1162" s="46"/>
      <c r="I1162" s="47"/>
    </row>
    <row r="1163" spans="2:9" x14ac:dyDescent="0.25">
      <c r="B1163" s="23"/>
      <c r="C1163" s="67" t="str">
        <f>HYPERLINK("#'Json-dokumentation'!A3421", "Fotnot: (**)")</f>
        <v>Fotnot: (**)</v>
      </c>
      <c r="D1163" s="46"/>
      <c r="E1163" s="46"/>
      <c r="F1163" s="46"/>
      <c r="G1163" s="46"/>
      <c r="H1163" s="46"/>
      <c r="I1163" s="47"/>
    </row>
    <row r="1164" spans="2:9" x14ac:dyDescent="0.25">
      <c r="B1164" s="25"/>
      <c r="C1164" s="21"/>
      <c r="D1164" s="21"/>
      <c r="E1164" s="21"/>
      <c r="F1164" s="21"/>
      <c r="G1164" s="21"/>
      <c r="H1164" s="21"/>
      <c r="I1164" s="27"/>
    </row>
    <row r="1166" spans="2:9" x14ac:dyDescent="0.25">
      <c r="B1166" s="3" t="s">
        <v>734</v>
      </c>
    </row>
    <row r="1168" spans="2:9" x14ac:dyDescent="0.25">
      <c r="B1168" s="3" t="s">
        <v>82</v>
      </c>
    </row>
    <row r="1169" spans="1:10" ht="19.899999999999999" customHeight="1" x14ac:dyDescent="0.25">
      <c r="B1169" s="29" t="s">
        <v>923</v>
      </c>
      <c r="C1169" s="42" t="s">
        <v>924</v>
      </c>
      <c r="D1169" s="43"/>
      <c r="E1169" s="43"/>
      <c r="F1169" s="43"/>
      <c r="G1169" s="43"/>
      <c r="H1169" s="43"/>
      <c r="I1169" s="44"/>
    </row>
    <row r="1170" spans="1:10" ht="19.899999999999999" customHeight="1" x14ac:dyDescent="0.25">
      <c r="B1170" s="30" t="s">
        <v>925</v>
      </c>
      <c r="C1170" s="52" t="s">
        <v>926</v>
      </c>
      <c r="D1170" s="53"/>
      <c r="E1170" s="46"/>
      <c r="F1170" s="46"/>
      <c r="G1170" s="46"/>
      <c r="H1170" s="46"/>
      <c r="I1170" s="47"/>
    </row>
    <row r="1171" spans="1:10" ht="19.899999999999999" customHeight="1" x14ac:dyDescent="0.25">
      <c r="B1171" s="31" t="s">
        <v>927</v>
      </c>
      <c r="C1171" s="59" t="s">
        <v>928</v>
      </c>
      <c r="D1171" s="60"/>
      <c r="E1171" s="49"/>
      <c r="F1171" s="49"/>
      <c r="G1171" s="49"/>
      <c r="H1171" s="49"/>
      <c r="I1171" s="50"/>
    </row>
    <row r="1175" spans="1:10" ht="92.25" customHeight="1" x14ac:dyDescent="0.25">
      <c r="A1175" s="45" t="s">
        <v>14</v>
      </c>
      <c r="B1175" s="46"/>
      <c r="C1175" s="46"/>
      <c r="D1175" s="46"/>
      <c r="E1175" s="46"/>
      <c r="F1175" s="46"/>
      <c r="G1175" s="46"/>
      <c r="H1175" s="46"/>
      <c r="I1175" s="46"/>
    </row>
    <row r="1176" spans="1:10" ht="18.75" x14ac:dyDescent="0.25">
      <c r="A1176" s="16" t="s">
        <v>929</v>
      </c>
      <c r="B1176" s="3" t="s">
        <v>47</v>
      </c>
    </row>
    <row r="1177" spans="1:10" ht="77.849999999999994" customHeight="1" x14ac:dyDescent="0.25">
      <c r="B1177" s="22" t="s">
        <v>62</v>
      </c>
      <c r="C1177" s="20" t="s">
        <v>49</v>
      </c>
      <c r="D1177" s="42" t="s">
        <v>930</v>
      </c>
      <c r="E1177" s="43"/>
      <c r="F1177" s="43"/>
      <c r="G1177" s="43"/>
      <c r="H1177" s="43"/>
      <c r="I1177" s="44"/>
    </row>
    <row r="1178" spans="1:10" ht="19.899999999999999" customHeight="1" x14ac:dyDescent="0.25">
      <c r="B1178" s="23"/>
      <c r="C1178" s="2" t="s">
        <v>657</v>
      </c>
      <c r="D1178" s="45" t="s">
        <v>931</v>
      </c>
      <c r="E1178" s="46"/>
      <c r="F1178" s="46"/>
      <c r="G1178" s="46"/>
      <c r="H1178" s="46"/>
      <c r="I1178" s="47"/>
    </row>
    <row r="1179" spans="1:10" ht="19.899999999999999" customHeight="1" x14ac:dyDescent="0.25">
      <c r="B1179" s="23"/>
      <c r="C1179" s="2" t="s">
        <v>659</v>
      </c>
      <c r="D1179" s="45" t="s">
        <v>932</v>
      </c>
      <c r="E1179" s="46"/>
      <c r="F1179" s="46"/>
      <c r="G1179" s="46"/>
      <c r="H1179" s="46"/>
      <c r="I1179" s="47"/>
    </row>
    <row r="1180" spans="1:10" x14ac:dyDescent="0.25">
      <c r="B1180" s="23"/>
      <c r="I1180" s="26"/>
    </row>
    <row r="1181" spans="1:10" x14ac:dyDescent="0.25">
      <c r="B1181" s="23"/>
      <c r="C1181" s="55" t="s">
        <v>60</v>
      </c>
      <c r="D1181" s="46"/>
      <c r="E1181" s="46"/>
      <c r="F1181" s="46"/>
      <c r="G1181" s="46"/>
      <c r="H1181" s="46"/>
      <c r="I1181" s="47"/>
    </row>
    <row r="1182" spans="1:10" x14ac:dyDescent="0.25">
      <c r="B1182" s="23"/>
      <c r="I1182" s="26"/>
    </row>
    <row r="1183" spans="1:10" ht="19.899999999999999" customHeight="1" x14ac:dyDescent="0.25">
      <c r="B1183" s="24" t="s">
        <v>933</v>
      </c>
      <c r="C1183" s="19" t="str">
        <f>HYPERLINK("#'Json-dokumentation'!A2870", "Ett eller flera element av typen 'SOFA'")</f>
        <v>Ett eller flera element av typen 'SOFA'</v>
      </c>
      <c r="D1183" s="52" t="s">
        <v>934</v>
      </c>
      <c r="E1183" s="53"/>
      <c r="F1183" s="53"/>
      <c r="G1183" s="53"/>
      <c r="H1183" s="53"/>
      <c r="I1183" s="54"/>
      <c r="J1183" s="17" t="str">
        <f>HYPERLINK("#'Ändringshistorik'!C151", "Ändringshistorik: [192]")</f>
        <v>Ändringshistorik: [192]</v>
      </c>
    </row>
    <row r="1184" spans="1:10" x14ac:dyDescent="0.25">
      <c r="B1184" s="23"/>
      <c r="C1184" s="55" t="s">
        <v>60</v>
      </c>
      <c r="D1184" s="46"/>
      <c r="E1184" s="46"/>
      <c r="F1184" s="46"/>
      <c r="G1184" s="46"/>
      <c r="H1184" s="46"/>
      <c r="I1184" s="47"/>
    </row>
    <row r="1185" spans="2:9" x14ac:dyDescent="0.25">
      <c r="B1185" s="25"/>
      <c r="C1185" s="21"/>
      <c r="D1185" s="21"/>
      <c r="E1185" s="21"/>
      <c r="F1185" s="21"/>
      <c r="G1185" s="21"/>
      <c r="H1185" s="21"/>
      <c r="I1185" s="27"/>
    </row>
    <row r="1187" spans="2:9" x14ac:dyDescent="0.25">
      <c r="B1187" s="3" t="s">
        <v>82</v>
      </c>
    </row>
    <row r="1188" spans="2:9" ht="19.899999999999999" customHeight="1" x14ac:dyDescent="0.25">
      <c r="B1188" s="29" t="s">
        <v>935</v>
      </c>
      <c r="C1188" s="42" t="s">
        <v>936</v>
      </c>
      <c r="D1188" s="43"/>
      <c r="E1188" s="43"/>
      <c r="F1188" s="43"/>
      <c r="G1188" s="43"/>
      <c r="H1188" s="43"/>
      <c r="I1188" s="44"/>
    </row>
    <row r="1189" spans="2:9" ht="34.35" customHeight="1" x14ac:dyDescent="0.25">
      <c r="B1189" s="30" t="s">
        <v>937</v>
      </c>
      <c r="C1189" s="52" t="s">
        <v>938</v>
      </c>
      <c r="D1189" s="53"/>
      <c r="E1189" s="46"/>
      <c r="F1189" s="46"/>
      <c r="G1189" s="46"/>
      <c r="H1189" s="46"/>
      <c r="I1189" s="47"/>
    </row>
    <row r="1190" spans="2:9" ht="19.899999999999999" customHeight="1" x14ac:dyDescent="0.25">
      <c r="B1190" s="30" t="s">
        <v>939</v>
      </c>
      <c r="C1190" s="52" t="s">
        <v>940</v>
      </c>
      <c r="D1190" s="53"/>
      <c r="E1190" s="46"/>
      <c r="F1190" s="46"/>
      <c r="G1190" s="46"/>
      <c r="H1190" s="46"/>
      <c r="I1190" s="47"/>
    </row>
    <row r="1191" spans="2:9" ht="19.899999999999999" customHeight="1" x14ac:dyDescent="0.25">
      <c r="B1191" s="30" t="s">
        <v>941</v>
      </c>
      <c r="C1191" s="52" t="s">
        <v>942</v>
      </c>
      <c r="D1191" s="53"/>
      <c r="E1191" s="46"/>
      <c r="F1191" s="46"/>
      <c r="G1191" s="46"/>
      <c r="H1191" s="46"/>
      <c r="I1191" s="47"/>
    </row>
    <row r="1192" spans="2:9" ht="19.899999999999999" customHeight="1" x14ac:dyDescent="0.25">
      <c r="B1192" s="30" t="s">
        <v>943</v>
      </c>
      <c r="C1192" s="52" t="s">
        <v>944</v>
      </c>
      <c r="D1192" s="53"/>
      <c r="E1192" s="46"/>
      <c r="F1192" s="46"/>
      <c r="G1192" s="46"/>
      <c r="H1192" s="46"/>
      <c r="I1192" s="47"/>
    </row>
    <row r="1193" spans="2:9" ht="19.899999999999999" customHeight="1" x14ac:dyDescent="0.25">
      <c r="B1193" s="30" t="s">
        <v>945</v>
      </c>
      <c r="C1193" s="52" t="s">
        <v>946</v>
      </c>
      <c r="D1193" s="53"/>
      <c r="E1193" s="46"/>
      <c r="F1193" s="46"/>
      <c r="G1193" s="46"/>
      <c r="H1193" s="46"/>
      <c r="I1193" s="47"/>
    </row>
    <row r="1194" spans="2:9" ht="19.899999999999999" customHeight="1" x14ac:dyDescent="0.25">
      <c r="B1194" s="30" t="s">
        <v>947</v>
      </c>
      <c r="C1194" s="52" t="s">
        <v>948</v>
      </c>
      <c r="D1194" s="53"/>
      <c r="E1194" s="46"/>
      <c r="F1194" s="46"/>
      <c r="G1194" s="46"/>
      <c r="H1194" s="46"/>
      <c r="I1194" s="47"/>
    </row>
    <row r="1195" spans="2:9" ht="19.899999999999999" customHeight="1" x14ac:dyDescent="0.25">
      <c r="B1195" s="30" t="s">
        <v>949</v>
      </c>
      <c r="C1195" s="52" t="s">
        <v>950</v>
      </c>
      <c r="D1195" s="53"/>
      <c r="E1195" s="46"/>
      <c r="F1195" s="46"/>
      <c r="G1195" s="46"/>
      <c r="H1195" s="46"/>
      <c r="I1195" s="47"/>
    </row>
    <row r="1196" spans="2:9" ht="19.899999999999999" customHeight="1" x14ac:dyDescent="0.25">
      <c r="B1196" s="30" t="s">
        <v>951</v>
      </c>
      <c r="C1196" s="52" t="s">
        <v>952</v>
      </c>
      <c r="D1196" s="53"/>
      <c r="E1196" s="46"/>
      <c r="F1196" s="46"/>
      <c r="G1196" s="46"/>
      <c r="H1196" s="46"/>
      <c r="I1196" s="47"/>
    </row>
    <row r="1197" spans="2:9" ht="19.899999999999999" customHeight="1" x14ac:dyDescent="0.25">
      <c r="B1197" s="30" t="s">
        <v>953</v>
      </c>
      <c r="C1197" s="52" t="s">
        <v>954</v>
      </c>
      <c r="D1197" s="53"/>
      <c r="E1197" s="46"/>
      <c r="F1197" s="46"/>
      <c r="G1197" s="46"/>
      <c r="H1197" s="46"/>
      <c r="I1197" s="47"/>
    </row>
    <row r="1198" spans="2:9" ht="19.899999999999999" customHeight="1" x14ac:dyDescent="0.25">
      <c r="B1198" s="31" t="s">
        <v>955</v>
      </c>
      <c r="C1198" s="59" t="s">
        <v>956</v>
      </c>
      <c r="D1198" s="60"/>
      <c r="E1198" s="49"/>
      <c r="F1198" s="49"/>
      <c r="G1198" s="49"/>
      <c r="H1198" s="49"/>
      <c r="I1198" s="50"/>
    </row>
    <row r="1202" spans="1:10" ht="77.849999999999994" customHeight="1" x14ac:dyDescent="0.25">
      <c r="A1202" s="45" t="s">
        <v>15</v>
      </c>
      <c r="B1202" s="46"/>
      <c r="C1202" s="46"/>
      <c r="D1202" s="46"/>
      <c r="E1202" s="46"/>
      <c r="F1202" s="46"/>
      <c r="G1202" s="46"/>
      <c r="H1202" s="46"/>
      <c r="I1202" s="46"/>
    </row>
    <row r="1203" spans="1:10" ht="18.75" x14ac:dyDescent="0.25">
      <c r="A1203" s="16" t="s">
        <v>957</v>
      </c>
      <c r="B1203" s="3" t="s">
        <v>47</v>
      </c>
      <c r="J1203" s="17" t="str">
        <f>HYPERLINK("#'Ändringshistorik'!C342", "Ändringshistorik: [31] ,[41]")</f>
        <v>Ändringshistorik: [31] ,[41]</v>
      </c>
    </row>
    <row r="1204" spans="1:10" ht="63.4" customHeight="1" x14ac:dyDescent="0.25">
      <c r="B1204" s="22" t="s">
        <v>958</v>
      </c>
      <c r="C1204" s="32" t="s">
        <v>213</v>
      </c>
      <c r="D1204" s="42" t="s">
        <v>959</v>
      </c>
      <c r="E1204" s="43"/>
      <c r="F1204" s="43"/>
      <c r="G1204" s="43"/>
      <c r="H1204" s="43"/>
      <c r="I1204" s="44"/>
      <c r="J1204" s="17" t="str">
        <f>HYPERLINK("#'Ändringshistorik'!C249", "Ändringshistorik: [105] ,[106]")</f>
        <v>Ändringshistorik: [105] ,[106]</v>
      </c>
    </row>
    <row r="1205" spans="1:10" x14ac:dyDescent="0.25">
      <c r="B1205" s="23"/>
      <c r="I1205" s="26"/>
    </row>
    <row r="1206" spans="1:10" x14ac:dyDescent="0.25">
      <c r="B1206" s="23"/>
      <c r="C1206" s="51" t="s">
        <v>55</v>
      </c>
      <c r="D1206" s="46"/>
      <c r="E1206" s="46"/>
      <c r="F1206" s="46"/>
      <c r="G1206" s="46"/>
      <c r="H1206" s="46"/>
      <c r="I1206" s="47"/>
    </row>
    <row r="1207" spans="1:10" x14ac:dyDescent="0.25">
      <c r="B1207" s="23"/>
      <c r="I1207" s="26"/>
    </row>
    <row r="1208" spans="1:10" ht="77.849999999999994" customHeight="1" x14ac:dyDescent="0.25">
      <c r="B1208" s="24" t="s">
        <v>745</v>
      </c>
      <c r="C1208" s="18" t="s">
        <v>49</v>
      </c>
      <c r="D1208" s="52" t="s">
        <v>960</v>
      </c>
      <c r="E1208" s="53"/>
      <c r="F1208" s="53"/>
      <c r="G1208" s="53"/>
      <c r="H1208" s="53"/>
      <c r="I1208" s="54"/>
    </row>
    <row r="1209" spans="1:10" ht="19.899999999999999" customHeight="1" x14ac:dyDescent="0.25">
      <c r="B1209" s="23"/>
      <c r="C1209" s="2" t="s">
        <v>747</v>
      </c>
      <c r="D1209" s="45" t="s">
        <v>748</v>
      </c>
      <c r="E1209" s="46"/>
      <c r="F1209" s="46"/>
      <c r="G1209" s="46"/>
      <c r="H1209" s="46"/>
      <c r="I1209" s="47"/>
    </row>
    <row r="1210" spans="1:10" ht="19.899999999999999" customHeight="1" x14ac:dyDescent="0.25">
      <c r="B1210" s="23"/>
      <c r="C1210" s="2" t="s">
        <v>749</v>
      </c>
      <c r="D1210" s="45" t="s">
        <v>961</v>
      </c>
      <c r="E1210" s="46"/>
      <c r="F1210" s="46"/>
      <c r="G1210" s="46"/>
      <c r="H1210" s="46"/>
      <c r="I1210" s="47"/>
    </row>
    <row r="1211" spans="1:10" ht="19.899999999999999" customHeight="1" x14ac:dyDescent="0.25">
      <c r="B1211" s="23"/>
      <c r="C1211" s="2" t="s">
        <v>962</v>
      </c>
      <c r="D1211" s="45" t="s">
        <v>963</v>
      </c>
      <c r="E1211" s="46"/>
      <c r="F1211" s="46"/>
      <c r="G1211" s="46"/>
      <c r="H1211" s="46"/>
      <c r="I1211" s="47"/>
    </row>
    <row r="1212" spans="1:10" ht="19.899999999999999" customHeight="1" x14ac:dyDescent="0.25">
      <c r="B1212" s="23"/>
      <c r="C1212" s="2" t="s">
        <v>964</v>
      </c>
      <c r="D1212" s="45" t="s">
        <v>965</v>
      </c>
      <c r="E1212" s="46"/>
      <c r="F1212" s="46"/>
      <c r="G1212" s="46"/>
      <c r="H1212" s="46"/>
      <c r="I1212" s="47"/>
    </row>
    <row r="1213" spans="1:10" x14ac:dyDescent="0.25">
      <c r="B1213" s="23"/>
      <c r="I1213" s="26"/>
    </row>
    <row r="1214" spans="1:10" x14ac:dyDescent="0.25">
      <c r="B1214" s="23"/>
      <c r="C1214" s="51" t="s">
        <v>55</v>
      </c>
      <c r="D1214" s="46"/>
      <c r="E1214" s="46"/>
      <c r="F1214" s="46"/>
      <c r="G1214" s="46"/>
      <c r="H1214" s="46"/>
      <c r="I1214" s="47"/>
    </row>
    <row r="1215" spans="1:10" x14ac:dyDescent="0.25">
      <c r="B1215" s="23"/>
      <c r="I1215" s="26"/>
    </row>
    <row r="1216" spans="1:10" ht="19.899999999999999" customHeight="1" x14ac:dyDescent="0.25">
      <c r="B1216" s="64" t="s">
        <v>966</v>
      </c>
      <c r="C1216" s="65"/>
      <c r="D1216" s="65"/>
      <c r="E1216" s="65"/>
      <c r="F1216" s="65"/>
      <c r="G1216" s="65"/>
      <c r="H1216" s="65"/>
      <c r="I1216" s="66"/>
    </row>
    <row r="1217" spans="2:9" ht="19.899999999999999" customHeight="1" x14ac:dyDescent="0.25">
      <c r="B1217" s="35" t="s">
        <v>724</v>
      </c>
      <c r="C1217" s="33" t="s">
        <v>182</v>
      </c>
      <c r="D1217" s="45" t="s">
        <v>883</v>
      </c>
      <c r="E1217" s="46"/>
      <c r="F1217" s="46"/>
      <c r="G1217" s="46"/>
      <c r="H1217" s="46"/>
      <c r="I1217" s="47"/>
    </row>
    <row r="1218" spans="2:9" x14ac:dyDescent="0.25">
      <c r="B1218" s="23"/>
      <c r="C1218" s="2" t="s">
        <v>726</v>
      </c>
      <c r="I1218" s="26"/>
    </row>
    <row r="1219" spans="2:9" x14ac:dyDescent="0.25">
      <c r="B1219" s="23"/>
      <c r="C1219" s="2" t="s">
        <v>727</v>
      </c>
      <c r="I1219" s="26"/>
    </row>
    <row r="1220" spans="2:9" x14ac:dyDescent="0.25">
      <c r="B1220" s="23"/>
      <c r="I1220" s="26"/>
    </row>
    <row r="1221" spans="2:9" x14ac:dyDescent="0.25">
      <c r="B1221" s="23"/>
      <c r="C1221" s="55" t="s">
        <v>60</v>
      </c>
      <c r="D1221" s="46"/>
      <c r="E1221" s="46"/>
      <c r="F1221" s="46"/>
      <c r="G1221" s="46"/>
      <c r="H1221" s="46"/>
      <c r="I1221" s="47"/>
    </row>
    <row r="1222" spans="2:9" x14ac:dyDescent="0.25">
      <c r="B1222" s="23"/>
      <c r="C1222" s="67" t="str">
        <f>HYPERLINK("#'Json-dokumentation'!B3038", "Fotnot: (*), (**)")</f>
        <v>Fotnot: (*), (**)</v>
      </c>
      <c r="D1222" s="46"/>
      <c r="E1222" s="46"/>
      <c r="F1222" s="46"/>
      <c r="G1222" s="46"/>
      <c r="H1222" s="46"/>
      <c r="I1222" s="47"/>
    </row>
    <row r="1223" spans="2:9" x14ac:dyDescent="0.25">
      <c r="B1223" s="23"/>
      <c r="I1223" s="26"/>
    </row>
    <row r="1224" spans="2:9" ht="19.899999999999999" customHeight="1" x14ac:dyDescent="0.25">
      <c r="B1224" s="24" t="s">
        <v>728</v>
      </c>
      <c r="C1224" s="19" t="s">
        <v>695</v>
      </c>
      <c r="D1224" s="52" t="s">
        <v>884</v>
      </c>
      <c r="E1224" s="53"/>
      <c r="F1224" s="53"/>
      <c r="G1224" s="53"/>
      <c r="H1224" s="53"/>
      <c r="I1224" s="54"/>
    </row>
    <row r="1225" spans="2:9" x14ac:dyDescent="0.25">
      <c r="B1225" s="23"/>
      <c r="C1225" s="2" t="s">
        <v>730</v>
      </c>
      <c r="I1225" s="26"/>
    </row>
    <row r="1226" spans="2:9" x14ac:dyDescent="0.25">
      <c r="B1226" s="23"/>
      <c r="C1226" s="2" t="s">
        <v>886</v>
      </c>
      <c r="I1226" s="26"/>
    </row>
    <row r="1227" spans="2:9" x14ac:dyDescent="0.25">
      <c r="B1227" s="23"/>
      <c r="I1227" s="26"/>
    </row>
    <row r="1228" spans="2:9" x14ac:dyDescent="0.25">
      <c r="B1228" s="23"/>
      <c r="C1228" s="55" t="s">
        <v>60</v>
      </c>
      <c r="D1228" s="46"/>
      <c r="E1228" s="46"/>
      <c r="F1228" s="46"/>
      <c r="G1228" s="46"/>
      <c r="H1228" s="46"/>
      <c r="I1228" s="47"/>
    </row>
    <row r="1229" spans="2:9" x14ac:dyDescent="0.25">
      <c r="B1229" s="23"/>
      <c r="C1229" s="67" t="str">
        <f>HYPERLINK("#'Json-dokumentation'!B3038", "Fotnot: (*), (**)")</f>
        <v>Fotnot: (*), (**)</v>
      </c>
      <c r="D1229" s="46"/>
      <c r="E1229" s="46"/>
      <c r="F1229" s="46"/>
      <c r="G1229" s="46"/>
      <c r="H1229" s="46"/>
      <c r="I1229" s="47"/>
    </row>
    <row r="1230" spans="2:9" x14ac:dyDescent="0.25">
      <c r="B1230" s="23"/>
      <c r="I1230" s="26"/>
    </row>
    <row r="1231" spans="2:9" ht="48.95" customHeight="1" x14ac:dyDescent="0.25">
      <c r="B1231" s="24" t="s">
        <v>967</v>
      </c>
      <c r="C1231" s="19" t="s">
        <v>182</v>
      </c>
      <c r="D1231" s="52" t="s">
        <v>968</v>
      </c>
      <c r="E1231" s="53"/>
      <c r="F1231" s="53"/>
      <c r="G1231" s="53"/>
      <c r="H1231" s="53"/>
      <c r="I1231" s="54"/>
    </row>
    <row r="1232" spans="2:9" x14ac:dyDescent="0.25">
      <c r="B1232" s="23"/>
      <c r="C1232" s="2" t="s">
        <v>969</v>
      </c>
      <c r="I1232" s="26"/>
    </row>
    <row r="1233" spans="2:9" x14ac:dyDescent="0.25">
      <c r="B1233" s="23"/>
      <c r="C1233" s="2" t="s">
        <v>970</v>
      </c>
      <c r="I1233" s="26"/>
    </row>
    <row r="1234" spans="2:9" x14ac:dyDescent="0.25">
      <c r="B1234" s="23"/>
      <c r="I1234" s="26"/>
    </row>
    <row r="1235" spans="2:9" x14ac:dyDescent="0.25">
      <c r="B1235" s="23"/>
      <c r="C1235" s="55" t="s">
        <v>60</v>
      </c>
      <c r="D1235" s="46"/>
      <c r="E1235" s="46"/>
      <c r="F1235" s="46"/>
      <c r="G1235" s="46"/>
      <c r="H1235" s="46"/>
      <c r="I1235" s="47"/>
    </row>
    <row r="1236" spans="2:9" x14ac:dyDescent="0.25">
      <c r="B1236" s="23"/>
      <c r="C1236" s="67" t="str">
        <f>HYPERLINK("#'Json-dokumentation'!B3038", "Fotnot: (*), (**)")</f>
        <v>Fotnot: (*), (**)</v>
      </c>
      <c r="D1236" s="46"/>
      <c r="E1236" s="46"/>
      <c r="F1236" s="46"/>
      <c r="G1236" s="46"/>
      <c r="H1236" s="46"/>
      <c r="I1236" s="47"/>
    </row>
    <row r="1237" spans="2:9" x14ac:dyDescent="0.25">
      <c r="B1237" s="23"/>
      <c r="I1237" s="26"/>
    </row>
    <row r="1238" spans="2:9" ht="63.4" customHeight="1" x14ac:dyDescent="0.25">
      <c r="B1238" s="24" t="s">
        <v>971</v>
      </c>
      <c r="C1238" s="19" t="s">
        <v>182</v>
      </c>
      <c r="D1238" s="52" t="s">
        <v>972</v>
      </c>
      <c r="E1238" s="53"/>
      <c r="F1238" s="53"/>
      <c r="G1238" s="53"/>
      <c r="H1238" s="53"/>
      <c r="I1238" s="54"/>
    </row>
    <row r="1239" spans="2:9" x14ac:dyDescent="0.25">
      <c r="B1239" s="23"/>
      <c r="C1239" s="2" t="s">
        <v>720</v>
      </c>
      <c r="I1239" s="26"/>
    </row>
    <row r="1240" spans="2:9" x14ac:dyDescent="0.25">
      <c r="B1240" s="23"/>
      <c r="C1240" s="2" t="s">
        <v>713</v>
      </c>
      <c r="I1240" s="26"/>
    </row>
    <row r="1241" spans="2:9" x14ac:dyDescent="0.25">
      <c r="B1241" s="23"/>
      <c r="I1241" s="26"/>
    </row>
    <row r="1242" spans="2:9" x14ac:dyDescent="0.25">
      <c r="B1242" s="23"/>
      <c r="C1242" s="55" t="s">
        <v>60</v>
      </c>
      <c r="D1242" s="46"/>
      <c r="E1242" s="46"/>
      <c r="F1242" s="46"/>
      <c r="G1242" s="46"/>
      <c r="H1242" s="46"/>
      <c r="I1242" s="47"/>
    </row>
    <row r="1243" spans="2:9" x14ac:dyDescent="0.25">
      <c r="B1243" s="23"/>
      <c r="C1243" s="67" t="str">
        <f>HYPERLINK("#'Json-dokumentation'!B3038", "Fotnot: (*), (**)")</f>
        <v>Fotnot: (*), (**)</v>
      </c>
      <c r="D1243" s="46"/>
      <c r="E1243" s="46"/>
      <c r="F1243" s="46"/>
      <c r="G1243" s="46"/>
      <c r="H1243" s="46"/>
      <c r="I1243" s="47"/>
    </row>
    <row r="1244" spans="2:9" x14ac:dyDescent="0.25">
      <c r="B1244" s="23"/>
      <c r="I1244" s="26"/>
    </row>
    <row r="1245" spans="2:9" ht="19.899999999999999" customHeight="1" x14ac:dyDescent="0.25">
      <c r="B1245" s="24" t="s">
        <v>694</v>
      </c>
      <c r="C1245" s="19" t="s">
        <v>182</v>
      </c>
      <c r="D1245" s="52" t="s">
        <v>696</v>
      </c>
      <c r="E1245" s="53"/>
      <c r="F1245" s="53"/>
      <c r="G1245" s="53"/>
      <c r="H1245" s="53"/>
      <c r="I1245" s="54"/>
    </row>
    <row r="1246" spans="2:9" x14ac:dyDescent="0.25">
      <c r="B1246" s="23"/>
      <c r="C1246" s="2" t="s">
        <v>697</v>
      </c>
      <c r="I1246" s="26"/>
    </row>
    <row r="1247" spans="2:9" x14ac:dyDescent="0.25">
      <c r="B1247" s="23"/>
      <c r="C1247" s="2" t="s">
        <v>698</v>
      </c>
      <c r="I1247" s="26"/>
    </row>
    <row r="1248" spans="2:9" x14ac:dyDescent="0.25">
      <c r="B1248" s="23"/>
      <c r="I1248" s="26"/>
    </row>
    <row r="1249" spans="2:9" x14ac:dyDescent="0.25">
      <c r="B1249" s="23"/>
      <c r="C1249" s="55" t="s">
        <v>60</v>
      </c>
      <c r="D1249" s="46"/>
      <c r="E1249" s="46"/>
      <c r="F1249" s="46"/>
      <c r="G1249" s="46"/>
      <c r="H1249" s="46"/>
      <c r="I1249" s="47"/>
    </row>
    <row r="1250" spans="2:9" x14ac:dyDescent="0.25">
      <c r="B1250" s="23"/>
      <c r="C1250" s="67" t="str">
        <f>HYPERLINK("#'Json-dokumentation'!B3038", "Fotnot: (*), (**)")</f>
        <v>Fotnot: (*), (**)</v>
      </c>
      <c r="D1250" s="46"/>
      <c r="E1250" s="46"/>
      <c r="F1250" s="46"/>
      <c r="G1250" s="46"/>
      <c r="H1250" s="46"/>
      <c r="I1250" s="47"/>
    </row>
    <row r="1251" spans="2:9" x14ac:dyDescent="0.25">
      <c r="B1251" s="23"/>
      <c r="I1251" s="26"/>
    </row>
    <row r="1252" spans="2:9" ht="34.35" customHeight="1" x14ac:dyDescent="0.25">
      <c r="B1252" s="64" t="s">
        <v>973</v>
      </c>
      <c r="C1252" s="65"/>
      <c r="D1252" s="65"/>
      <c r="E1252" s="65"/>
      <c r="F1252" s="65"/>
      <c r="G1252" s="65"/>
      <c r="H1252" s="65"/>
      <c r="I1252" s="66"/>
    </row>
    <row r="1253" spans="2:9" ht="19.899999999999999" customHeight="1" x14ac:dyDescent="0.25">
      <c r="B1253" s="35" t="s">
        <v>974</v>
      </c>
      <c r="C1253" s="33" t="s">
        <v>182</v>
      </c>
      <c r="D1253" s="45" t="s">
        <v>975</v>
      </c>
      <c r="E1253" s="46"/>
      <c r="F1253" s="46"/>
      <c r="G1253" s="46"/>
      <c r="H1253" s="46"/>
      <c r="I1253" s="47"/>
    </row>
    <row r="1254" spans="2:9" x14ac:dyDescent="0.25">
      <c r="B1254" s="23"/>
      <c r="C1254" s="2" t="s">
        <v>976</v>
      </c>
      <c r="I1254" s="26"/>
    </row>
    <row r="1255" spans="2:9" x14ac:dyDescent="0.25">
      <c r="B1255" s="23"/>
      <c r="C1255" s="2" t="s">
        <v>803</v>
      </c>
      <c r="I1255" s="26"/>
    </row>
    <row r="1256" spans="2:9" x14ac:dyDescent="0.25">
      <c r="B1256" s="23"/>
      <c r="I1256" s="26"/>
    </row>
    <row r="1257" spans="2:9" x14ac:dyDescent="0.25">
      <c r="B1257" s="23"/>
      <c r="C1257" s="55" t="s">
        <v>60</v>
      </c>
      <c r="D1257" s="46"/>
      <c r="E1257" s="46"/>
      <c r="F1257" s="46"/>
      <c r="G1257" s="46"/>
      <c r="H1257" s="46"/>
      <c r="I1257" s="47"/>
    </row>
    <row r="1258" spans="2:9" x14ac:dyDescent="0.25">
      <c r="B1258" s="23"/>
      <c r="C1258" s="67" t="str">
        <f>HYPERLINK("#'Json-dokumentation'!B3038", "Fotnot: (*), (**)")</f>
        <v>Fotnot: (*), (**)</v>
      </c>
      <c r="D1258" s="46"/>
      <c r="E1258" s="46"/>
      <c r="F1258" s="46"/>
      <c r="G1258" s="46"/>
      <c r="H1258" s="46"/>
      <c r="I1258" s="47"/>
    </row>
    <row r="1259" spans="2:9" x14ac:dyDescent="0.25">
      <c r="B1259" s="23"/>
      <c r="I1259" s="26"/>
    </row>
    <row r="1260" spans="2:9" ht="19.899999999999999" customHeight="1" x14ac:dyDescent="0.25">
      <c r="B1260" s="24" t="s">
        <v>977</v>
      </c>
      <c r="C1260" s="18" t="s">
        <v>49</v>
      </c>
      <c r="D1260" s="52" t="s">
        <v>978</v>
      </c>
      <c r="E1260" s="53"/>
      <c r="F1260" s="53"/>
      <c r="G1260" s="53"/>
      <c r="H1260" s="53"/>
      <c r="I1260" s="54"/>
    </row>
    <row r="1261" spans="2:9" ht="19.899999999999999" customHeight="1" x14ac:dyDescent="0.25">
      <c r="B1261" s="23"/>
      <c r="C1261" s="2" t="s">
        <v>289</v>
      </c>
      <c r="D1261" s="45" t="s">
        <v>635</v>
      </c>
      <c r="E1261" s="46"/>
      <c r="F1261" s="46"/>
      <c r="G1261" s="46"/>
      <c r="H1261" s="46"/>
      <c r="I1261" s="47"/>
    </row>
    <row r="1262" spans="2:9" ht="19.899999999999999" customHeight="1" x14ac:dyDescent="0.25">
      <c r="B1262" s="23"/>
      <c r="C1262" s="2" t="s">
        <v>979</v>
      </c>
      <c r="D1262" s="45" t="s">
        <v>980</v>
      </c>
      <c r="E1262" s="46"/>
      <c r="F1262" s="46"/>
      <c r="G1262" s="46"/>
      <c r="H1262" s="46"/>
      <c r="I1262" s="47"/>
    </row>
    <row r="1263" spans="2:9" ht="19.899999999999999" customHeight="1" x14ac:dyDescent="0.25">
      <c r="B1263" s="23"/>
      <c r="C1263" s="2" t="s">
        <v>981</v>
      </c>
      <c r="D1263" s="45" t="s">
        <v>982</v>
      </c>
      <c r="E1263" s="46"/>
      <c r="F1263" s="46"/>
      <c r="G1263" s="46"/>
      <c r="H1263" s="46"/>
      <c r="I1263" s="47"/>
    </row>
    <row r="1264" spans="2:9" ht="19.899999999999999" customHeight="1" x14ac:dyDescent="0.25">
      <c r="B1264" s="23"/>
      <c r="C1264" s="2" t="s">
        <v>983</v>
      </c>
      <c r="D1264" s="45" t="s">
        <v>984</v>
      </c>
      <c r="E1264" s="46"/>
      <c r="F1264" s="46"/>
      <c r="G1264" s="46"/>
      <c r="H1264" s="46"/>
      <c r="I1264" s="47"/>
    </row>
    <row r="1265" spans="2:9" x14ac:dyDescent="0.25">
      <c r="B1265" s="23"/>
      <c r="I1265" s="26"/>
    </row>
    <row r="1266" spans="2:9" x14ac:dyDescent="0.25">
      <c r="B1266" s="23"/>
      <c r="C1266" s="55" t="s">
        <v>60</v>
      </c>
      <c r="D1266" s="46"/>
      <c r="E1266" s="46"/>
      <c r="F1266" s="46"/>
      <c r="G1266" s="46"/>
      <c r="H1266" s="46"/>
      <c r="I1266" s="47"/>
    </row>
    <row r="1267" spans="2:9" x14ac:dyDescent="0.25">
      <c r="B1267" s="23"/>
      <c r="C1267" s="67" t="str">
        <f>HYPERLINK("#'Json-dokumentation'!B3038", "Fotnot: (*), (**)")</f>
        <v>Fotnot: (*), (**)</v>
      </c>
      <c r="D1267" s="46"/>
      <c r="E1267" s="46"/>
      <c r="F1267" s="46"/>
      <c r="G1267" s="46"/>
      <c r="H1267" s="46"/>
      <c r="I1267" s="47"/>
    </row>
    <row r="1268" spans="2:9" x14ac:dyDescent="0.25">
      <c r="B1268" s="23"/>
      <c r="I1268" s="26"/>
    </row>
    <row r="1269" spans="2:9" ht="19.899999999999999" customHeight="1" x14ac:dyDescent="0.25">
      <c r="B1269" s="24" t="s">
        <v>985</v>
      </c>
      <c r="C1269" s="18" t="s">
        <v>49</v>
      </c>
      <c r="D1269" s="52" t="s">
        <v>986</v>
      </c>
      <c r="E1269" s="53"/>
      <c r="F1269" s="53"/>
      <c r="G1269" s="53"/>
      <c r="H1269" s="53"/>
      <c r="I1269" s="54"/>
    </row>
    <row r="1270" spans="2:9" ht="19.899999999999999" customHeight="1" x14ac:dyDescent="0.25">
      <c r="B1270" s="23"/>
      <c r="C1270" s="2" t="s">
        <v>289</v>
      </c>
      <c r="D1270" s="45" t="s">
        <v>635</v>
      </c>
      <c r="E1270" s="46"/>
      <c r="F1270" s="46"/>
      <c r="G1270" s="46"/>
      <c r="H1270" s="46"/>
      <c r="I1270" s="47"/>
    </row>
    <row r="1271" spans="2:9" ht="19.899999999999999" customHeight="1" x14ac:dyDescent="0.25">
      <c r="B1271" s="23"/>
      <c r="C1271" s="2" t="s">
        <v>979</v>
      </c>
      <c r="D1271" s="45" t="s">
        <v>987</v>
      </c>
      <c r="E1271" s="46"/>
      <c r="F1271" s="46"/>
      <c r="G1271" s="46"/>
      <c r="H1271" s="46"/>
      <c r="I1271" s="47"/>
    </row>
    <row r="1272" spans="2:9" ht="19.899999999999999" customHeight="1" x14ac:dyDescent="0.25">
      <c r="B1272" s="23"/>
      <c r="C1272" s="2" t="s">
        <v>981</v>
      </c>
      <c r="D1272" s="45" t="s">
        <v>988</v>
      </c>
      <c r="E1272" s="46"/>
      <c r="F1272" s="46"/>
      <c r="G1272" s="46"/>
      <c r="H1272" s="46"/>
      <c r="I1272" s="47"/>
    </row>
    <row r="1273" spans="2:9" x14ac:dyDescent="0.25">
      <c r="B1273" s="23"/>
      <c r="I1273" s="26"/>
    </row>
    <row r="1274" spans="2:9" x14ac:dyDescent="0.25">
      <c r="B1274" s="23"/>
      <c r="C1274" s="55" t="s">
        <v>60</v>
      </c>
      <c r="D1274" s="46"/>
      <c r="E1274" s="46"/>
      <c r="F1274" s="46"/>
      <c r="G1274" s="46"/>
      <c r="H1274" s="46"/>
      <c r="I1274" s="47"/>
    </row>
    <row r="1275" spans="2:9" x14ac:dyDescent="0.25">
      <c r="B1275" s="23"/>
      <c r="C1275" s="67" t="str">
        <f>HYPERLINK("#'Json-dokumentation'!B3038", "Fotnot: (*), (**)")</f>
        <v>Fotnot: (*), (**)</v>
      </c>
      <c r="D1275" s="46"/>
      <c r="E1275" s="46"/>
      <c r="F1275" s="46"/>
      <c r="G1275" s="46"/>
      <c r="H1275" s="46"/>
      <c r="I1275" s="47"/>
    </row>
    <row r="1276" spans="2:9" x14ac:dyDescent="0.25">
      <c r="B1276" s="23"/>
      <c r="I1276" s="26"/>
    </row>
    <row r="1277" spans="2:9" ht="19.899999999999999" customHeight="1" x14ac:dyDescent="0.25">
      <c r="B1277" s="24" t="s">
        <v>989</v>
      </c>
      <c r="C1277" s="18" t="s">
        <v>49</v>
      </c>
      <c r="D1277" s="52" t="s">
        <v>990</v>
      </c>
      <c r="E1277" s="53"/>
      <c r="F1277" s="53"/>
      <c r="G1277" s="53"/>
      <c r="H1277" s="53"/>
      <c r="I1277" s="54"/>
    </row>
    <row r="1278" spans="2:9" ht="19.899999999999999" customHeight="1" x14ac:dyDescent="0.25">
      <c r="B1278" s="23"/>
      <c r="C1278" s="2" t="s">
        <v>289</v>
      </c>
      <c r="D1278" s="45" t="s">
        <v>635</v>
      </c>
      <c r="E1278" s="46"/>
      <c r="F1278" s="46"/>
      <c r="G1278" s="46"/>
      <c r="H1278" s="46"/>
      <c r="I1278" s="47"/>
    </row>
    <row r="1279" spans="2:9" ht="19.899999999999999" customHeight="1" x14ac:dyDescent="0.25">
      <c r="B1279" s="23"/>
      <c r="C1279" s="2" t="s">
        <v>979</v>
      </c>
      <c r="D1279" s="45" t="s">
        <v>987</v>
      </c>
      <c r="E1279" s="46"/>
      <c r="F1279" s="46"/>
      <c r="G1279" s="46"/>
      <c r="H1279" s="46"/>
      <c r="I1279" s="47"/>
    </row>
    <row r="1280" spans="2:9" ht="19.899999999999999" customHeight="1" x14ac:dyDescent="0.25">
      <c r="B1280" s="23"/>
      <c r="C1280" s="2" t="s">
        <v>981</v>
      </c>
      <c r="D1280" s="45" t="s">
        <v>991</v>
      </c>
      <c r="E1280" s="46"/>
      <c r="F1280" s="46"/>
      <c r="G1280" s="46"/>
      <c r="H1280" s="46"/>
      <c r="I1280" s="47"/>
    </row>
    <row r="1281" spans="2:9" x14ac:dyDescent="0.25">
      <c r="B1281" s="23"/>
      <c r="I1281" s="26"/>
    </row>
    <row r="1282" spans="2:9" x14ac:dyDescent="0.25">
      <c r="B1282" s="23"/>
      <c r="C1282" s="55" t="s">
        <v>60</v>
      </c>
      <c r="D1282" s="46"/>
      <c r="E1282" s="46"/>
      <c r="F1282" s="46"/>
      <c r="G1282" s="46"/>
      <c r="H1282" s="46"/>
      <c r="I1282" s="47"/>
    </row>
    <row r="1283" spans="2:9" x14ac:dyDescent="0.25">
      <c r="B1283" s="23"/>
      <c r="C1283" s="67" t="str">
        <f>HYPERLINK("#'Json-dokumentation'!B3038", "Fotnot: (*), (**)")</f>
        <v>Fotnot: (*), (**)</v>
      </c>
      <c r="D1283" s="46"/>
      <c r="E1283" s="46"/>
      <c r="F1283" s="46"/>
      <c r="G1283" s="46"/>
      <c r="H1283" s="46"/>
      <c r="I1283" s="47"/>
    </row>
    <row r="1284" spans="2:9" x14ac:dyDescent="0.25">
      <c r="B1284" s="23"/>
      <c r="I1284" s="26"/>
    </row>
    <row r="1285" spans="2:9" ht="19.899999999999999" customHeight="1" x14ac:dyDescent="0.25">
      <c r="B1285" s="24" t="s">
        <v>992</v>
      </c>
      <c r="C1285" s="19" t="s">
        <v>220</v>
      </c>
      <c r="D1285" s="52" t="s">
        <v>993</v>
      </c>
      <c r="E1285" s="53"/>
      <c r="F1285" s="53"/>
      <c r="G1285" s="53"/>
      <c r="H1285" s="53"/>
      <c r="I1285" s="54"/>
    </row>
    <row r="1286" spans="2:9" x14ac:dyDescent="0.25">
      <c r="B1286" s="23"/>
      <c r="C1286" s="2" t="s">
        <v>222</v>
      </c>
      <c r="I1286" s="26"/>
    </row>
    <row r="1287" spans="2:9" x14ac:dyDescent="0.25">
      <c r="B1287" s="23"/>
      <c r="I1287" s="26"/>
    </row>
    <row r="1288" spans="2:9" x14ac:dyDescent="0.25">
      <c r="B1288" s="23"/>
      <c r="C1288" s="55" t="s">
        <v>60</v>
      </c>
      <c r="D1288" s="46"/>
      <c r="E1288" s="46"/>
      <c r="F1288" s="46"/>
      <c r="G1288" s="46"/>
      <c r="H1288" s="46"/>
      <c r="I1288" s="47"/>
    </row>
    <row r="1289" spans="2:9" x14ac:dyDescent="0.25">
      <c r="B1289" s="23"/>
      <c r="C1289" s="67" t="str">
        <f>HYPERLINK("#'Json-dokumentation'!B3038", "Fotnot: (*), (**)")</f>
        <v>Fotnot: (*), (**)</v>
      </c>
      <c r="D1289" s="46"/>
      <c r="E1289" s="46"/>
      <c r="F1289" s="46"/>
      <c r="G1289" s="46"/>
      <c r="H1289" s="46"/>
      <c r="I1289" s="47"/>
    </row>
    <row r="1290" spans="2:9" x14ac:dyDescent="0.25">
      <c r="B1290" s="23"/>
      <c r="I1290" s="26"/>
    </row>
    <row r="1291" spans="2:9" ht="19.899999999999999" customHeight="1" x14ac:dyDescent="0.25">
      <c r="B1291" s="24" t="s">
        <v>994</v>
      </c>
      <c r="C1291" s="19" t="s">
        <v>220</v>
      </c>
      <c r="D1291" s="52" t="s">
        <v>995</v>
      </c>
      <c r="E1291" s="53"/>
      <c r="F1291" s="53"/>
      <c r="G1291" s="53"/>
      <c r="H1291" s="53"/>
      <c r="I1291" s="54"/>
    </row>
    <row r="1292" spans="2:9" x14ac:dyDescent="0.25">
      <c r="B1292" s="23"/>
      <c r="C1292" s="2" t="s">
        <v>222</v>
      </c>
      <c r="I1292" s="26"/>
    </row>
    <row r="1293" spans="2:9" x14ac:dyDescent="0.25">
      <c r="B1293" s="23"/>
      <c r="I1293" s="26"/>
    </row>
    <row r="1294" spans="2:9" x14ac:dyDescent="0.25">
      <c r="B1294" s="23"/>
      <c r="C1294" s="55" t="s">
        <v>60</v>
      </c>
      <c r="D1294" s="46"/>
      <c r="E1294" s="46"/>
      <c r="F1294" s="46"/>
      <c r="G1294" s="46"/>
      <c r="H1294" s="46"/>
      <c r="I1294" s="47"/>
    </row>
    <row r="1295" spans="2:9" x14ac:dyDescent="0.25">
      <c r="B1295" s="23"/>
      <c r="C1295" s="67" t="str">
        <f>HYPERLINK("#'Json-dokumentation'!B3038", "Fotnot: (*), (**)")</f>
        <v>Fotnot: (*), (**)</v>
      </c>
      <c r="D1295" s="46"/>
      <c r="E1295" s="46"/>
      <c r="F1295" s="46"/>
      <c r="G1295" s="46"/>
      <c r="H1295" s="46"/>
      <c r="I1295" s="47"/>
    </row>
    <row r="1296" spans="2:9" x14ac:dyDescent="0.25">
      <c r="B1296" s="23"/>
      <c r="I1296" s="26"/>
    </row>
    <row r="1297" spans="2:9" ht="19.899999999999999" customHeight="1" x14ac:dyDescent="0.25">
      <c r="B1297" s="24" t="s">
        <v>996</v>
      </c>
      <c r="C1297" s="19" t="s">
        <v>220</v>
      </c>
      <c r="D1297" s="52" t="s">
        <v>997</v>
      </c>
      <c r="E1297" s="53"/>
      <c r="F1297" s="53"/>
      <c r="G1297" s="53"/>
      <c r="H1297" s="53"/>
      <c r="I1297" s="54"/>
    </row>
    <row r="1298" spans="2:9" x14ac:dyDescent="0.25">
      <c r="B1298" s="23"/>
      <c r="C1298" s="2" t="s">
        <v>222</v>
      </c>
      <c r="I1298" s="26"/>
    </row>
    <row r="1299" spans="2:9" x14ac:dyDescent="0.25">
      <c r="B1299" s="23"/>
      <c r="I1299" s="26"/>
    </row>
    <row r="1300" spans="2:9" x14ac:dyDescent="0.25">
      <c r="B1300" s="23"/>
      <c r="C1300" s="55" t="s">
        <v>60</v>
      </c>
      <c r="D1300" s="46"/>
      <c r="E1300" s="46"/>
      <c r="F1300" s="46"/>
      <c r="G1300" s="46"/>
      <c r="H1300" s="46"/>
      <c r="I1300" s="47"/>
    </row>
    <row r="1301" spans="2:9" x14ac:dyDescent="0.25">
      <c r="B1301" s="23"/>
      <c r="C1301" s="67" t="str">
        <f>HYPERLINK("#'Json-dokumentation'!B3038", "Fotnot: (*), (**)")</f>
        <v>Fotnot: (*), (**)</v>
      </c>
      <c r="D1301" s="46"/>
      <c r="E1301" s="46"/>
      <c r="F1301" s="46"/>
      <c r="G1301" s="46"/>
      <c r="H1301" s="46"/>
      <c r="I1301" s="47"/>
    </row>
    <row r="1302" spans="2:9" x14ac:dyDescent="0.25">
      <c r="B1302" s="23"/>
      <c r="I1302" s="26"/>
    </row>
    <row r="1303" spans="2:9" ht="19.899999999999999" customHeight="1" x14ac:dyDescent="0.25">
      <c r="B1303" s="64" t="s">
        <v>998</v>
      </c>
      <c r="C1303" s="65"/>
      <c r="D1303" s="65"/>
      <c r="E1303" s="65"/>
      <c r="F1303" s="65"/>
      <c r="G1303" s="65"/>
      <c r="H1303" s="65"/>
      <c r="I1303" s="66"/>
    </row>
    <row r="1304" spans="2:9" ht="19.899999999999999" customHeight="1" x14ac:dyDescent="0.25">
      <c r="B1304" s="35" t="s">
        <v>655</v>
      </c>
      <c r="C1304" s="34" t="s">
        <v>49</v>
      </c>
      <c r="D1304" s="45" t="s">
        <v>656</v>
      </c>
      <c r="E1304" s="46"/>
      <c r="F1304" s="46"/>
      <c r="G1304" s="46"/>
      <c r="H1304" s="46"/>
      <c r="I1304" s="47"/>
    </row>
    <row r="1305" spans="2:9" ht="19.899999999999999" customHeight="1" x14ac:dyDescent="0.25">
      <c r="B1305" s="23"/>
      <c r="C1305" s="2" t="s">
        <v>657</v>
      </c>
      <c r="D1305" s="45" t="s">
        <v>658</v>
      </c>
      <c r="E1305" s="46"/>
      <c r="F1305" s="46"/>
      <c r="G1305" s="46"/>
      <c r="H1305" s="46"/>
      <c r="I1305" s="47"/>
    </row>
    <row r="1306" spans="2:9" ht="19.899999999999999" customHeight="1" x14ac:dyDescent="0.25">
      <c r="B1306" s="23"/>
      <c r="C1306" s="2" t="s">
        <v>659</v>
      </c>
      <c r="D1306" s="45" t="s">
        <v>660</v>
      </c>
      <c r="E1306" s="46"/>
      <c r="F1306" s="46"/>
      <c r="G1306" s="46"/>
      <c r="H1306" s="46"/>
      <c r="I1306" s="47"/>
    </row>
    <row r="1307" spans="2:9" ht="19.899999999999999" customHeight="1" x14ac:dyDescent="0.25">
      <c r="B1307" s="23"/>
      <c r="C1307" s="2" t="s">
        <v>661</v>
      </c>
      <c r="D1307" s="45" t="s">
        <v>662</v>
      </c>
      <c r="E1307" s="46"/>
      <c r="F1307" s="46"/>
      <c r="G1307" s="46"/>
      <c r="H1307" s="46"/>
      <c r="I1307" s="47"/>
    </row>
    <row r="1308" spans="2:9" ht="19.899999999999999" customHeight="1" x14ac:dyDescent="0.25">
      <c r="B1308" s="23"/>
      <c r="C1308" s="2" t="s">
        <v>663</v>
      </c>
      <c r="D1308" s="45" t="s">
        <v>664</v>
      </c>
      <c r="E1308" s="46"/>
      <c r="F1308" s="46"/>
      <c r="G1308" s="46"/>
      <c r="H1308" s="46"/>
      <c r="I1308" s="47"/>
    </row>
    <row r="1309" spans="2:9" x14ac:dyDescent="0.25">
      <c r="B1309" s="23"/>
      <c r="I1309" s="26"/>
    </row>
    <row r="1310" spans="2:9" x14ac:dyDescent="0.25">
      <c r="B1310" s="23"/>
      <c r="C1310" s="55" t="s">
        <v>60</v>
      </c>
      <c r="D1310" s="46"/>
      <c r="E1310" s="46"/>
      <c r="F1310" s="46"/>
      <c r="G1310" s="46"/>
      <c r="H1310" s="46"/>
      <c r="I1310" s="47"/>
    </row>
    <row r="1311" spans="2:9" x14ac:dyDescent="0.25">
      <c r="B1311" s="23"/>
      <c r="C1311" s="67" t="str">
        <f>HYPERLINK("#'Json-dokumentation'!B3038", "Fotnot: (*), (**)")</f>
        <v>Fotnot: (*), (**)</v>
      </c>
      <c r="D1311" s="46"/>
      <c r="E1311" s="46"/>
      <c r="F1311" s="46"/>
      <c r="G1311" s="46"/>
      <c r="H1311" s="46"/>
      <c r="I1311" s="47"/>
    </row>
    <row r="1312" spans="2:9" x14ac:dyDescent="0.25">
      <c r="B1312" s="23"/>
      <c r="I1312" s="26"/>
    </row>
    <row r="1313" spans="2:9" ht="19.899999999999999" customHeight="1" x14ac:dyDescent="0.25">
      <c r="B1313" s="24" t="s">
        <v>665</v>
      </c>
      <c r="C1313" s="18" t="s">
        <v>49</v>
      </c>
      <c r="D1313" s="52" t="s">
        <v>666</v>
      </c>
      <c r="E1313" s="53"/>
      <c r="F1313" s="53"/>
      <c r="G1313" s="53"/>
      <c r="H1313" s="53"/>
      <c r="I1313" s="54"/>
    </row>
    <row r="1314" spans="2:9" ht="19.899999999999999" customHeight="1" x14ac:dyDescent="0.25">
      <c r="B1314" s="23"/>
      <c r="C1314" s="2" t="s">
        <v>657</v>
      </c>
      <c r="D1314" s="45" t="s">
        <v>667</v>
      </c>
      <c r="E1314" s="46"/>
      <c r="F1314" s="46"/>
      <c r="G1314" s="46"/>
      <c r="H1314" s="46"/>
      <c r="I1314" s="47"/>
    </row>
    <row r="1315" spans="2:9" ht="19.899999999999999" customHeight="1" x14ac:dyDescent="0.25">
      <c r="B1315" s="23"/>
      <c r="C1315" s="2" t="s">
        <v>659</v>
      </c>
      <c r="D1315" s="45" t="s">
        <v>668</v>
      </c>
      <c r="E1315" s="46"/>
      <c r="F1315" s="46"/>
      <c r="G1315" s="46"/>
      <c r="H1315" s="46"/>
      <c r="I1315" s="47"/>
    </row>
    <row r="1316" spans="2:9" ht="19.899999999999999" customHeight="1" x14ac:dyDescent="0.25">
      <c r="B1316" s="23"/>
      <c r="C1316" s="2" t="s">
        <v>661</v>
      </c>
      <c r="D1316" s="45" t="s">
        <v>669</v>
      </c>
      <c r="E1316" s="46"/>
      <c r="F1316" s="46"/>
      <c r="G1316" s="46"/>
      <c r="H1316" s="46"/>
      <c r="I1316" s="47"/>
    </row>
    <row r="1317" spans="2:9" ht="19.899999999999999" customHeight="1" x14ac:dyDescent="0.25">
      <c r="B1317" s="23"/>
      <c r="C1317" s="2" t="s">
        <v>663</v>
      </c>
      <c r="D1317" s="45" t="s">
        <v>670</v>
      </c>
      <c r="E1317" s="46"/>
      <c r="F1317" s="46"/>
      <c r="G1317" s="46"/>
      <c r="H1317" s="46"/>
      <c r="I1317" s="47"/>
    </row>
    <row r="1318" spans="2:9" ht="19.899999999999999" customHeight="1" x14ac:dyDescent="0.25">
      <c r="B1318" s="23"/>
      <c r="C1318" s="2" t="s">
        <v>671</v>
      </c>
      <c r="D1318" s="45" t="s">
        <v>672</v>
      </c>
      <c r="E1318" s="46"/>
      <c r="F1318" s="46"/>
      <c r="G1318" s="46"/>
      <c r="H1318" s="46"/>
      <c r="I1318" s="47"/>
    </row>
    <row r="1319" spans="2:9" x14ac:dyDescent="0.25">
      <c r="B1319" s="23"/>
      <c r="I1319" s="26"/>
    </row>
    <row r="1320" spans="2:9" x14ac:dyDescent="0.25">
      <c r="B1320" s="23"/>
      <c r="C1320" s="55" t="s">
        <v>60</v>
      </c>
      <c r="D1320" s="46"/>
      <c r="E1320" s="46"/>
      <c r="F1320" s="46"/>
      <c r="G1320" s="46"/>
      <c r="H1320" s="46"/>
      <c r="I1320" s="47"/>
    </row>
    <row r="1321" spans="2:9" x14ac:dyDescent="0.25">
      <c r="B1321" s="23"/>
      <c r="C1321" s="67" t="str">
        <f>HYPERLINK("#'Json-dokumentation'!B3038", "Fotnot: (*), (**)")</f>
        <v>Fotnot: (*), (**)</v>
      </c>
      <c r="D1321" s="46"/>
      <c r="E1321" s="46"/>
      <c r="F1321" s="46"/>
      <c r="G1321" s="46"/>
      <c r="H1321" s="46"/>
      <c r="I1321" s="47"/>
    </row>
    <row r="1322" spans="2:9" x14ac:dyDescent="0.25">
      <c r="B1322" s="23"/>
      <c r="I1322" s="26"/>
    </row>
    <row r="1323" spans="2:9" ht="19.899999999999999" customHeight="1" x14ac:dyDescent="0.25">
      <c r="B1323" s="24" t="s">
        <v>673</v>
      </c>
      <c r="C1323" s="18" t="s">
        <v>49</v>
      </c>
      <c r="D1323" s="52" t="s">
        <v>674</v>
      </c>
      <c r="E1323" s="53"/>
      <c r="F1323" s="53"/>
      <c r="G1323" s="53"/>
      <c r="H1323" s="53"/>
      <c r="I1323" s="54"/>
    </row>
    <row r="1324" spans="2:9" ht="19.899999999999999" customHeight="1" x14ac:dyDescent="0.25">
      <c r="B1324" s="23"/>
      <c r="C1324" s="2" t="s">
        <v>657</v>
      </c>
      <c r="D1324" s="45" t="s">
        <v>675</v>
      </c>
      <c r="E1324" s="46"/>
      <c r="F1324" s="46"/>
      <c r="G1324" s="46"/>
      <c r="H1324" s="46"/>
      <c r="I1324" s="47"/>
    </row>
    <row r="1325" spans="2:9" ht="19.899999999999999" customHeight="1" x14ac:dyDescent="0.25">
      <c r="B1325" s="23"/>
      <c r="C1325" s="2" t="s">
        <v>659</v>
      </c>
      <c r="D1325" s="45" t="s">
        <v>676</v>
      </c>
      <c r="E1325" s="46"/>
      <c r="F1325" s="46"/>
      <c r="G1325" s="46"/>
      <c r="H1325" s="46"/>
      <c r="I1325" s="47"/>
    </row>
    <row r="1326" spans="2:9" ht="19.899999999999999" customHeight="1" x14ac:dyDescent="0.25">
      <c r="B1326" s="23"/>
      <c r="C1326" s="2" t="s">
        <v>661</v>
      </c>
      <c r="D1326" s="45" t="s">
        <v>677</v>
      </c>
      <c r="E1326" s="46"/>
      <c r="F1326" s="46"/>
      <c r="G1326" s="46"/>
      <c r="H1326" s="46"/>
      <c r="I1326" s="47"/>
    </row>
    <row r="1327" spans="2:9" ht="34.35" customHeight="1" x14ac:dyDescent="0.25">
      <c r="B1327" s="23"/>
      <c r="C1327" s="2" t="s">
        <v>663</v>
      </c>
      <c r="D1327" s="45" t="s">
        <v>678</v>
      </c>
      <c r="E1327" s="46"/>
      <c r="F1327" s="46"/>
      <c r="G1327" s="46"/>
      <c r="H1327" s="46"/>
      <c r="I1327" s="47"/>
    </row>
    <row r="1328" spans="2:9" ht="19.899999999999999" customHeight="1" x14ac:dyDescent="0.25">
      <c r="B1328" s="23"/>
      <c r="C1328" s="2" t="s">
        <v>671</v>
      </c>
      <c r="D1328" s="45" t="s">
        <v>679</v>
      </c>
      <c r="E1328" s="46"/>
      <c r="F1328" s="46"/>
      <c r="G1328" s="46"/>
      <c r="H1328" s="46"/>
      <c r="I1328" s="47"/>
    </row>
    <row r="1329" spans="2:9" ht="19.899999999999999" customHeight="1" x14ac:dyDescent="0.25">
      <c r="B1329" s="23"/>
      <c r="C1329" s="2" t="s">
        <v>680</v>
      </c>
      <c r="D1329" s="45" t="s">
        <v>681</v>
      </c>
      <c r="E1329" s="46"/>
      <c r="F1329" s="46"/>
      <c r="G1329" s="46"/>
      <c r="H1329" s="46"/>
      <c r="I1329" s="47"/>
    </row>
    <row r="1330" spans="2:9" x14ac:dyDescent="0.25">
      <c r="B1330" s="23"/>
      <c r="I1330" s="26"/>
    </row>
    <row r="1331" spans="2:9" x14ac:dyDescent="0.25">
      <c r="B1331" s="23"/>
      <c r="C1331" s="55" t="s">
        <v>60</v>
      </c>
      <c r="D1331" s="46"/>
      <c r="E1331" s="46"/>
      <c r="F1331" s="46"/>
      <c r="G1331" s="46"/>
      <c r="H1331" s="46"/>
      <c r="I1331" s="47"/>
    </row>
    <row r="1332" spans="2:9" x14ac:dyDescent="0.25">
      <c r="B1332" s="23"/>
      <c r="C1332" s="67" t="str">
        <f>HYPERLINK("#'Json-dokumentation'!B3038", "Fotnot: (*), (**)")</f>
        <v>Fotnot: (*), (**)</v>
      </c>
      <c r="D1332" s="46"/>
      <c r="E1332" s="46"/>
      <c r="F1332" s="46"/>
      <c r="G1332" s="46"/>
      <c r="H1332" s="46"/>
      <c r="I1332" s="47"/>
    </row>
    <row r="1333" spans="2:9" x14ac:dyDescent="0.25">
      <c r="B1333" s="23"/>
      <c r="I1333" s="26"/>
    </row>
    <row r="1334" spans="2:9" ht="19.899999999999999" customHeight="1" x14ac:dyDescent="0.25">
      <c r="B1334" s="24" t="s">
        <v>682</v>
      </c>
      <c r="C1334" s="18" t="s">
        <v>49</v>
      </c>
      <c r="D1334" s="52" t="s">
        <v>683</v>
      </c>
      <c r="E1334" s="53"/>
      <c r="F1334" s="53"/>
      <c r="G1334" s="53"/>
      <c r="H1334" s="53"/>
      <c r="I1334" s="54"/>
    </row>
    <row r="1335" spans="2:9" ht="19.899999999999999" customHeight="1" x14ac:dyDescent="0.25">
      <c r="B1335" s="23"/>
      <c r="C1335" s="2" t="s">
        <v>657</v>
      </c>
      <c r="D1335" s="45" t="s">
        <v>684</v>
      </c>
      <c r="E1335" s="46"/>
      <c r="F1335" s="46"/>
      <c r="G1335" s="46"/>
      <c r="H1335" s="46"/>
      <c r="I1335" s="47"/>
    </row>
    <row r="1336" spans="2:9" ht="19.899999999999999" customHeight="1" x14ac:dyDescent="0.25">
      <c r="B1336" s="23"/>
      <c r="C1336" s="2" t="s">
        <v>659</v>
      </c>
      <c r="D1336" s="45" t="s">
        <v>685</v>
      </c>
      <c r="E1336" s="46"/>
      <c r="F1336" s="46"/>
      <c r="G1336" s="46"/>
      <c r="H1336" s="46"/>
      <c r="I1336" s="47"/>
    </row>
    <row r="1337" spans="2:9" ht="19.899999999999999" customHeight="1" x14ac:dyDescent="0.25">
      <c r="B1337" s="23"/>
      <c r="C1337" s="2" t="s">
        <v>661</v>
      </c>
      <c r="D1337" s="45" t="s">
        <v>686</v>
      </c>
      <c r="E1337" s="46"/>
      <c r="F1337" s="46"/>
      <c r="G1337" s="46"/>
      <c r="H1337" s="46"/>
      <c r="I1337" s="47"/>
    </row>
    <row r="1338" spans="2:9" ht="19.899999999999999" customHeight="1" x14ac:dyDescent="0.25">
      <c r="B1338" s="23"/>
      <c r="C1338" s="2" t="s">
        <v>663</v>
      </c>
      <c r="D1338" s="45" t="s">
        <v>687</v>
      </c>
      <c r="E1338" s="46"/>
      <c r="F1338" s="46"/>
      <c r="G1338" s="46"/>
      <c r="H1338" s="46"/>
      <c r="I1338" s="47"/>
    </row>
    <row r="1339" spans="2:9" ht="19.899999999999999" customHeight="1" x14ac:dyDescent="0.25">
      <c r="B1339" s="23"/>
      <c r="C1339" s="2" t="s">
        <v>671</v>
      </c>
      <c r="D1339" s="45" t="s">
        <v>688</v>
      </c>
      <c r="E1339" s="46"/>
      <c r="F1339" s="46"/>
      <c r="G1339" s="46"/>
      <c r="H1339" s="46"/>
      <c r="I1339" s="47"/>
    </row>
    <row r="1340" spans="2:9" ht="19.899999999999999" customHeight="1" x14ac:dyDescent="0.25">
      <c r="B1340" s="23"/>
      <c r="C1340" s="2" t="s">
        <v>680</v>
      </c>
      <c r="D1340" s="45" t="s">
        <v>689</v>
      </c>
      <c r="E1340" s="46"/>
      <c r="F1340" s="46"/>
      <c r="G1340" s="46"/>
      <c r="H1340" s="46"/>
      <c r="I1340" s="47"/>
    </row>
    <row r="1341" spans="2:9" ht="19.899999999999999" customHeight="1" x14ac:dyDescent="0.25">
      <c r="B1341" s="23"/>
      <c r="C1341" s="2" t="s">
        <v>690</v>
      </c>
      <c r="D1341" s="45" t="s">
        <v>691</v>
      </c>
      <c r="E1341" s="46"/>
      <c r="F1341" s="46"/>
      <c r="G1341" s="46"/>
      <c r="H1341" s="46"/>
      <c r="I1341" s="47"/>
    </row>
    <row r="1342" spans="2:9" ht="19.899999999999999" customHeight="1" x14ac:dyDescent="0.25">
      <c r="B1342" s="23"/>
      <c r="C1342" s="2" t="s">
        <v>692</v>
      </c>
      <c r="D1342" s="45" t="s">
        <v>693</v>
      </c>
      <c r="E1342" s="46"/>
      <c r="F1342" s="46"/>
      <c r="G1342" s="46"/>
      <c r="H1342" s="46"/>
      <c r="I1342" s="47"/>
    </row>
    <row r="1343" spans="2:9" x14ac:dyDescent="0.25">
      <c r="B1343" s="23"/>
      <c r="I1343" s="26"/>
    </row>
    <row r="1344" spans="2:9" x14ac:dyDescent="0.25">
      <c r="B1344" s="23"/>
      <c r="C1344" s="55" t="s">
        <v>60</v>
      </c>
      <c r="D1344" s="46"/>
      <c r="E1344" s="46"/>
      <c r="F1344" s="46"/>
      <c r="G1344" s="46"/>
      <c r="H1344" s="46"/>
      <c r="I1344" s="47"/>
    </row>
    <row r="1345" spans="2:9" x14ac:dyDescent="0.25">
      <c r="B1345" s="23"/>
      <c r="C1345" s="67" t="str">
        <f>HYPERLINK("#'Json-dokumentation'!B3038", "Fotnot: (*), (**)")</f>
        <v>Fotnot: (*), (**)</v>
      </c>
      <c r="D1345" s="46"/>
      <c r="E1345" s="46"/>
      <c r="F1345" s="46"/>
      <c r="G1345" s="46"/>
      <c r="H1345" s="46"/>
      <c r="I1345" s="47"/>
    </row>
    <row r="1346" spans="2:9" x14ac:dyDescent="0.25">
      <c r="B1346" s="23"/>
      <c r="I1346" s="26"/>
    </row>
    <row r="1347" spans="2:9" ht="19.899999999999999" customHeight="1" x14ac:dyDescent="0.25">
      <c r="B1347" s="64" t="s">
        <v>999</v>
      </c>
      <c r="C1347" s="65"/>
      <c r="D1347" s="65"/>
      <c r="E1347" s="65"/>
      <c r="F1347" s="65"/>
      <c r="G1347" s="65"/>
      <c r="H1347" s="65"/>
      <c r="I1347" s="66"/>
    </row>
    <row r="1348" spans="2:9" ht="19.899999999999999" customHeight="1" x14ac:dyDescent="0.25">
      <c r="B1348" s="35" t="s">
        <v>703</v>
      </c>
      <c r="C1348" s="33" t="s">
        <v>182</v>
      </c>
      <c r="D1348" s="45" t="s">
        <v>704</v>
      </c>
      <c r="E1348" s="46"/>
      <c r="F1348" s="46"/>
      <c r="G1348" s="46"/>
      <c r="H1348" s="46"/>
      <c r="I1348" s="47"/>
    </row>
    <row r="1349" spans="2:9" x14ac:dyDescent="0.25">
      <c r="B1349" s="23"/>
      <c r="C1349" s="2" t="s">
        <v>705</v>
      </c>
      <c r="I1349" s="26"/>
    </row>
    <row r="1350" spans="2:9" x14ac:dyDescent="0.25">
      <c r="B1350" s="23"/>
      <c r="C1350" s="2" t="s">
        <v>698</v>
      </c>
      <c r="I1350" s="26"/>
    </row>
    <row r="1351" spans="2:9" x14ac:dyDescent="0.25">
      <c r="B1351" s="23"/>
      <c r="I1351" s="26"/>
    </row>
    <row r="1352" spans="2:9" x14ac:dyDescent="0.25">
      <c r="B1352" s="23"/>
      <c r="C1352" s="55" t="s">
        <v>60</v>
      </c>
      <c r="D1352" s="46"/>
      <c r="E1352" s="46"/>
      <c r="F1352" s="46"/>
      <c r="G1352" s="46"/>
      <c r="H1352" s="46"/>
      <c r="I1352" s="47"/>
    </row>
    <row r="1353" spans="2:9" x14ac:dyDescent="0.25">
      <c r="B1353" s="23"/>
      <c r="C1353" s="67" t="str">
        <f>HYPERLINK("#'Json-dokumentation'!B3038", "Fotnot: (*), (**)")</f>
        <v>Fotnot: (*), (**)</v>
      </c>
      <c r="D1353" s="46"/>
      <c r="E1353" s="46"/>
      <c r="F1353" s="46"/>
      <c r="G1353" s="46"/>
      <c r="H1353" s="46"/>
      <c r="I1353" s="47"/>
    </row>
    <row r="1354" spans="2:9" x14ac:dyDescent="0.25">
      <c r="B1354" s="23"/>
      <c r="I1354" s="26"/>
    </row>
    <row r="1355" spans="2:9" ht="19.899999999999999" customHeight="1" x14ac:dyDescent="0.25">
      <c r="B1355" s="24" t="s">
        <v>1000</v>
      </c>
      <c r="C1355" s="19" t="s">
        <v>182</v>
      </c>
      <c r="D1355" s="52" t="s">
        <v>1001</v>
      </c>
      <c r="E1355" s="53"/>
      <c r="F1355" s="53"/>
      <c r="G1355" s="53"/>
      <c r="H1355" s="53"/>
      <c r="I1355" s="54"/>
    </row>
    <row r="1356" spans="2:9" x14ac:dyDescent="0.25">
      <c r="B1356" s="23"/>
      <c r="C1356" s="2" t="s">
        <v>1002</v>
      </c>
      <c r="I1356" s="26"/>
    </row>
    <row r="1357" spans="2:9" x14ac:dyDescent="0.25">
      <c r="B1357" s="23"/>
      <c r="C1357" s="2" t="s">
        <v>1003</v>
      </c>
      <c r="I1357" s="26"/>
    </row>
    <row r="1358" spans="2:9" x14ac:dyDescent="0.25">
      <c r="B1358" s="23"/>
      <c r="I1358" s="26"/>
    </row>
    <row r="1359" spans="2:9" x14ac:dyDescent="0.25">
      <c r="B1359" s="23"/>
      <c r="C1359" s="55" t="s">
        <v>60</v>
      </c>
      <c r="D1359" s="46"/>
      <c r="E1359" s="46"/>
      <c r="F1359" s="46"/>
      <c r="G1359" s="46"/>
      <c r="H1359" s="46"/>
      <c r="I1359" s="47"/>
    </row>
    <row r="1360" spans="2:9" x14ac:dyDescent="0.25">
      <c r="B1360" s="23"/>
      <c r="C1360" s="67" t="str">
        <f>HYPERLINK("#'Json-dokumentation'!B3038", "Fotnot: (*), (**)")</f>
        <v>Fotnot: (*), (**)</v>
      </c>
      <c r="D1360" s="46"/>
      <c r="E1360" s="46"/>
      <c r="F1360" s="46"/>
      <c r="G1360" s="46"/>
      <c r="H1360" s="46"/>
      <c r="I1360" s="47"/>
    </row>
    <row r="1361" spans="2:10" x14ac:dyDescent="0.25">
      <c r="B1361" s="25"/>
      <c r="C1361" s="21"/>
      <c r="D1361" s="21"/>
      <c r="E1361" s="21"/>
      <c r="F1361" s="21"/>
      <c r="G1361" s="21"/>
      <c r="H1361" s="21"/>
      <c r="I1361" s="27"/>
    </row>
    <row r="1363" spans="2:10" x14ac:dyDescent="0.25">
      <c r="B1363" s="3" t="s">
        <v>734</v>
      </c>
    </row>
    <row r="1364" spans="2:10" ht="19.899999999999999" customHeight="1" x14ac:dyDescent="0.25">
      <c r="B1364" s="36" t="s">
        <v>1004</v>
      </c>
      <c r="C1364" s="56" t="s">
        <v>1005</v>
      </c>
      <c r="D1364" s="57"/>
      <c r="E1364" s="57"/>
      <c r="F1364" s="57"/>
      <c r="G1364" s="57"/>
      <c r="H1364" s="57"/>
      <c r="I1364" s="58"/>
    </row>
    <row r="1366" spans="2:10" x14ac:dyDescent="0.25">
      <c r="B1366" s="3" t="s">
        <v>82</v>
      </c>
    </row>
    <row r="1367" spans="2:10" ht="19.899999999999999" customHeight="1" x14ac:dyDescent="0.25">
      <c r="B1367" s="29" t="s">
        <v>1006</v>
      </c>
      <c r="C1367" s="42" t="s">
        <v>1007</v>
      </c>
      <c r="D1367" s="43"/>
      <c r="E1367" s="43"/>
      <c r="F1367" s="43"/>
      <c r="G1367" s="43"/>
      <c r="H1367" s="43"/>
      <c r="I1367" s="44"/>
      <c r="J1367" s="17" t="str">
        <f>HYPERLINK("#'Ändringshistorik'!C134", "Ändringshistorik: [218]")</f>
        <v>Ändringshistorik: [218]</v>
      </c>
    </row>
    <row r="1368" spans="2:10" ht="19.899999999999999" customHeight="1" x14ac:dyDescent="0.25">
      <c r="B1368" s="30" t="s">
        <v>1008</v>
      </c>
      <c r="C1368" s="52" t="s">
        <v>1009</v>
      </c>
      <c r="D1368" s="53"/>
      <c r="E1368" s="46"/>
      <c r="F1368" s="46"/>
      <c r="G1368" s="46"/>
      <c r="H1368" s="46"/>
      <c r="I1368" s="47"/>
    </row>
    <row r="1369" spans="2:10" ht="34.35" customHeight="1" x14ac:dyDescent="0.25">
      <c r="B1369" s="30" t="s">
        <v>1010</v>
      </c>
      <c r="C1369" s="52" t="s">
        <v>1011</v>
      </c>
      <c r="D1369" s="53"/>
      <c r="E1369" s="46"/>
      <c r="F1369" s="46"/>
      <c r="G1369" s="46"/>
      <c r="H1369" s="46"/>
      <c r="I1369" s="47"/>
    </row>
    <row r="1370" spans="2:10" ht="19.899999999999999" customHeight="1" x14ac:dyDescent="0.25">
      <c r="B1370" s="30" t="s">
        <v>1012</v>
      </c>
      <c r="C1370" s="52" t="s">
        <v>940</v>
      </c>
      <c r="D1370" s="53"/>
      <c r="E1370" s="46"/>
      <c r="F1370" s="46"/>
      <c r="G1370" s="46"/>
      <c r="H1370" s="46"/>
      <c r="I1370" s="47"/>
    </row>
    <row r="1371" spans="2:10" ht="19.899999999999999" customHeight="1" x14ac:dyDescent="0.25">
      <c r="B1371" s="30" t="s">
        <v>1013</v>
      </c>
      <c r="C1371" s="52" t="s">
        <v>1014</v>
      </c>
      <c r="D1371" s="53"/>
      <c r="E1371" s="46"/>
      <c r="F1371" s="46"/>
      <c r="G1371" s="46"/>
      <c r="H1371" s="46"/>
      <c r="I1371" s="47"/>
    </row>
    <row r="1372" spans="2:10" ht="19.899999999999999" customHeight="1" x14ac:dyDescent="0.25">
      <c r="B1372" s="30" t="s">
        <v>1015</v>
      </c>
      <c r="C1372" s="52" t="s">
        <v>954</v>
      </c>
      <c r="D1372" s="53"/>
      <c r="E1372" s="46"/>
      <c r="F1372" s="46"/>
      <c r="G1372" s="46"/>
      <c r="H1372" s="46"/>
      <c r="I1372" s="47"/>
    </row>
    <row r="1373" spans="2:10" ht="34.35" customHeight="1" x14ac:dyDescent="0.25">
      <c r="B1373" s="30" t="s">
        <v>1016</v>
      </c>
      <c r="C1373" s="52" t="s">
        <v>1017</v>
      </c>
      <c r="D1373" s="53"/>
      <c r="E1373" s="46"/>
      <c r="F1373" s="46"/>
      <c r="G1373" s="46"/>
      <c r="H1373" s="46"/>
      <c r="I1373" s="47"/>
      <c r="J1373" s="17" t="str">
        <f>HYPERLINK("#'Ändringshistorik'!C251", "Ändringshistorik: [107]")</f>
        <v>Ändringshistorik: [107]</v>
      </c>
    </row>
    <row r="1374" spans="2:10" ht="19.899999999999999" customHeight="1" x14ac:dyDescent="0.25">
      <c r="B1374" s="30" t="s">
        <v>1018</v>
      </c>
      <c r="C1374" s="52" t="s">
        <v>1019</v>
      </c>
      <c r="D1374" s="53"/>
      <c r="E1374" s="46"/>
      <c r="F1374" s="46"/>
      <c r="G1374" s="46"/>
      <c r="H1374" s="46"/>
      <c r="I1374" s="47"/>
    </row>
    <row r="1375" spans="2:10" ht="19.899999999999999" customHeight="1" x14ac:dyDescent="0.25">
      <c r="B1375" s="31" t="s">
        <v>1020</v>
      </c>
      <c r="C1375" s="59" t="s">
        <v>1021</v>
      </c>
      <c r="D1375" s="60"/>
      <c r="E1375" s="49"/>
      <c r="F1375" s="49"/>
      <c r="G1375" s="49"/>
      <c r="H1375" s="49"/>
      <c r="I1375" s="50"/>
    </row>
    <row r="1379" spans="1:9" ht="48.95" customHeight="1" x14ac:dyDescent="0.25">
      <c r="A1379" s="45" t="s">
        <v>16</v>
      </c>
      <c r="B1379" s="46"/>
      <c r="C1379" s="46"/>
      <c r="D1379" s="46"/>
      <c r="E1379" s="46"/>
      <c r="F1379" s="46"/>
      <c r="G1379" s="46"/>
      <c r="H1379" s="46"/>
      <c r="I1379" s="46"/>
    </row>
    <row r="1380" spans="1:9" ht="18.75" x14ac:dyDescent="0.25">
      <c r="A1380" s="16" t="s">
        <v>1022</v>
      </c>
      <c r="B1380" s="3" t="s">
        <v>47</v>
      </c>
    </row>
    <row r="1381" spans="1:9" ht="63.4" customHeight="1" x14ac:dyDescent="0.25">
      <c r="B1381" s="22" t="s">
        <v>1023</v>
      </c>
      <c r="C1381" s="20" t="s">
        <v>1024</v>
      </c>
      <c r="D1381" s="42" t="s">
        <v>1025</v>
      </c>
      <c r="E1381" s="43"/>
      <c r="F1381" s="43"/>
      <c r="G1381" s="43"/>
      <c r="H1381" s="43"/>
      <c r="I1381" s="44"/>
    </row>
    <row r="1382" spans="1:9" ht="19.899999999999999" customHeight="1" x14ac:dyDescent="0.25">
      <c r="B1382" s="23"/>
      <c r="C1382" s="2" t="s">
        <v>289</v>
      </c>
      <c r="D1382" s="45" t="s">
        <v>635</v>
      </c>
      <c r="E1382" s="46"/>
      <c r="F1382" s="46"/>
      <c r="G1382" s="46"/>
      <c r="H1382" s="46"/>
      <c r="I1382" s="47"/>
    </row>
    <row r="1383" spans="1:9" ht="19.899999999999999" customHeight="1" x14ac:dyDescent="0.25">
      <c r="B1383" s="23"/>
      <c r="C1383" s="2" t="s">
        <v>1026</v>
      </c>
      <c r="D1383" s="45" t="s">
        <v>1027</v>
      </c>
      <c r="E1383" s="46"/>
      <c r="F1383" s="46"/>
      <c r="G1383" s="46"/>
      <c r="H1383" s="46"/>
      <c r="I1383" s="47"/>
    </row>
    <row r="1384" spans="1:9" ht="19.899999999999999" customHeight="1" x14ac:dyDescent="0.25">
      <c r="B1384" s="23"/>
      <c r="C1384" s="2" t="s">
        <v>1028</v>
      </c>
      <c r="D1384" s="45" t="s">
        <v>1029</v>
      </c>
      <c r="E1384" s="46"/>
      <c r="F1384" s="46"/>
      <c r="G1384" s="46"/>
      <c r="H1384" s="46"/>
      <c r="I1384" s="47"/>
    </row>
    <row r="1385" spans="1:9" ht="19.899999999999999" customHeight="1" x14ac:dyDescent="0.25">
      <c r="B1385" s="23"/>
      <c r="C1385" s="2" t="s">
        <v>499</v>
      </c>
      <c r="D1385" s="45" t="s">
        <v>1030</v>
      </c>
      <c r="E1385" s="46"/>
      <c r="F1385" s="46"/>
      <c r="G1385" s="46"/>
      <c r="H1385" s="46"/>
      <c r="I1385" s="47"/>
    </row>
    <row r="1386" spans="1:9" ht="19.899999999999999" customHeight="1" x14ac:dyDescent="0.25">
      <c r="B1386" s="23"/>
      <c r="C1386" s="2" t="s">
        <v>1031</v>
      </c>
      <c r="D1386" s="45" t="s">
        <v>1032</v>
      </c>
      <c r="E1386" s="46"/>
      <c r="F1386" s="46"/>
      <c r="G1386" s="46"/>
      <c r="H1386" s="46"/>
      <c r="I1386" s="47"/>
    </row>
    <row r="1387" spans="1:9" ht="19.899999999999999" customHeight="1" x14ac:dyDescent="0.25">
      <c r="B1387" s="23"/>
      <c r="C1387" s="2" t="s">
        <v>1033</v>
      </c>
      <c r="D1387" s="45" t="s">
        <v>1034</v>
      </c>
      <c r="E1387" s="46"/>
      <c r="F1387" s="46"/>
      <c r="G1387" s="46"/>
      <c r="H1387" s="46"/>
      <c r="I1387" s="47"/>
    </row>
    <row r="1388" spans="1:9" x14ac:dyDescent="0.25">
      <c r="B1388" s="23"/>
      <c r="I1388" s="26"/>
    </row>
    <row r="1389" spans="1:9" x14ac:dyDescent="0.25">
      <c r="B1389" s="23"/>
      <c r="C1389" s="51" t="s">
        <v>55</v>
      </c>
      <c r="D1389" s="46"/>
      <c r="E1389" s="46"/>
      <c r="F1389" s="46"/>
      <c r="G1389" s="46"/>
      <c r="H1389" s="46"/>
      <c r="I1389" s="47"/>
    </row>
    <row r="1390" spans="1:9" x14ac:dyDescent="0.25">
      <c r="B1390" s="23"/>
      <c r="I1390" s="26"/>
    </row>
    <row r="1391" spans="1:9" ht="63.4" customHeight="1" x14ac:dyDescent="0.25">
      <c r="B1391" s="24" t="s">
        <v>1035</v>
      </c>
      <c r="C1391" s="18" t="s">
        <v>485</v>
      </c>
      <c r="D1391" s="52" t="s">
        <v>1036</v>
      </c>
      <c r="E1391" s="53"/>
      <c r="F1391" s="53"/>
      <c r="G1391" s="53"/>
      <c r="H1391" s="53"/>
      <c r="I1391" s="54"/>
    </row>
    <row r="1392" spans="1:9" ht="19.899999999999999" customHeight="1" x14ac:dyDescent="0.25">
      <c r="B1392" s="23"/>
      <c r="C1392" s="2" t="s">
        <v>1037</v>
      </c>
      <c r="D1392" s="45" t="s">
        <v>1038</v>
      </c>
      <c r="E1392" s="46"/>
      <c r="F1392" s="46"/>
      <c r="G1392" s="46"/>
      <c r="H1392" s="46"/>
      <c r="I1392" s="47"/>
    </row>
    <row r="1393" spans="2:9" ht="19.899999999999999" customHeight="1" x14ac:dyDescent="0.25">
      <c r="B1393" s="23"/>
      <c r="C1393" s="2" t="s">
        <v>1039</v>
      </c>
      <c r="D1393" s="45" t="s">
        <v>1040</v>
      </c>
      <c r="E1393" s="46"/>
      <c r="F1393" s="46"/>
      <c r="G1393" s="46"/>
      <c r="H1393" s="46"/>
      <c r="I1393" s="47"/>
    </row>
    <row r="1394" spans="2:9" ht="19.899999999999999" customHeight="1" x14ac:dyDescent="0.25">
      <c r="B1394" s="23"/>
      <c r="C1394" s="2" t="s">
        <v>1041</v>
      </c>
      <c r="D1394" s="45" t="s">
        <v>1042</v>
      </c>
      <c r="E1394" s="46"/>
      <c r="F1394" s="46"/>
      <c r="G1394" s="46"/>
      <c r="H1394" s="46"/>
      <c r="I1394" s="47"/>
    </row>
    <row r="1395" spans="2:9" ht="19.899999999999999" customHeight="1" x14ac:dyDescent="0.25">
      <c r="B1395" s="23"/>
      <c r="C1395" s="2" t="s">
        <v>1033</v>
      </c>
      <c r="D1395" s="45" t="s">
        <v>1034</v>
      </c>
      <c r="E1395" s="46"/>
      <c r="F1395" s="46"/>
      <c r="G1395" s="46"/>
      <c r="H1395" s="46"/>
      <c r="I1395" s="47"/>
    </row>
    <row r="1396" spans="2:9" x14ac:dyDescent="0.25">
      <c r="B1396" s="23"/>
      <c r="I1396" s="26"/>
    </row>
    <row r="1397" spans="2:9" x14ac:dyDescent="0.25">
      <c r="B1397" s="23"/>
      <c r="C1397" s="55" t="s">
        <v>60</v>
      </c>
      <c r="D1397" s="46"/>
      <c r="E1397" s="46"/>
      <c r="F1397" s="46"/>
      <c r="G1397" s="46"/>
      <c r="H1397" s="46"/>
      <c r="I1397" s="47"/>
    </row>
    <row r="1398" spans="2:9" x14ac:dyDescent="0.25">
      <c r="B1398" s="23"/>
      <c r="I1398" s="26"/>
    </row>
    <row r="1399" spans="2:9" ht="34.35" customHeight="1" x14ac:dyDescent="0.25">
      <c r="B1399" s="24" t="s">
        <v>1043</v>
      </c>
      <c r="C1399" s="19" t="s">
        <v>220</v>
      </c>
      <c r="D1399" s="52" t="s">
        <v>1044</v>
      </c>
      <c r="E1399" s="53"/>
      <c r="F1399" s="53"/>
      <c r="G1399" s="53"/>
      <c r="H1399" s="53"/>
      <c r="I1399" s="54"/>
    </row>
    <row r="1400" spans="2:9" x14ac:dyDescent="0.25">
      <c r="B1400" s="23"/>
      <c r="C1400" s="2" t="s">
        <v>222</v>
      </c>
      <c r="I1400" s="26"/>
    </row>
    <row r="1401" spans="2:9" x14ac:dyDescent="0.25">
      <c r="B1401" s="23"/>
      <c r="I1401" s="26"/>
    </row>
    <row r="1402" spans="2:9" x14ac:dyDescent="0.25">
      <c r="B1402" s="23"/>
      <c r="C1402" s="51" t="s">
        <v>55</v>
      </c>
      <c r="D1402" s="46"/>
      <c r="E1402" s="46"/>
      <c r="F1402" s="46"/>
      <c r="G1402" s="46"/>
      <c r="H1402" s="46"/>
      <c r="I1402" s="47"/>
    </row>
    <row r="1403" spans="2:9" x14ac:dyDescent="0.25">
      <c r="B1403" s="23"/>
      <c r="I1403" s="26"/>
    </row>
    <row r="1404" spans="2:9" ht="63.4" customHeight="1" x14ac:dyDescent="0.25">
      <c r="B1404" s="24" t="s">
        <v>1045</v>
      </c>
      <c r="C1404" s="18" t="s">
        <v>1046</v>
      </c>
      <c r="D1404" s="52" t="s">
        <v>1047</v>
      </c>
      <c r="E1404" s="53"/>
      <c r="F1404" s="53"/>
      <c r="G1404" s="53"/>
      <c r="H1404" s="53"/>
      <c r="I1404" s="54"/>
    </row>
    <row r="1405" spans="2:9" ht="19.899999999999999" customHeight="1" x14ac:dyDescent="0.25">
      <c r="B1405" s="23"/>
      <c r="C1405" s="2" t="s">
        <v>1048</v>
      </c>
      <c r="D1405" s="45" t="s">
        <v>1049</v>
      </c>
      <c r="E1405" s="46"/>
      <c r="F1405" s="46"/>
      <c r="G1405" s="46"/>
      <c r="H1405" s="46"/>
      <c r="I1405" s="47"/>
    </row>
    <row r="1406" spans="2:9" ht="19.899999999999999" customHeight="1" x14ac:dyDescent="0.25">
      <c r="B1406" s="23"/>
      <c r="C1406" s="2" t="s">
        <v>1050</v>
      </c>
      <c r="D1406" s="45" t="s">
        <v>1051</v>
      </c>
      <c r="E1406" s="46"/>
      <c r="F1406" s="46"/>
      <c r="G1406" s="46"/>
      <c r="H1406" s="46"/>
      <c r="I1406" s="47"/>
    </row>
    <row r="1407" spans="2:9" ht="19.899999999999999" customHeight="1" x14ac:dyDescent="0.25">
      <c r="B1407" s="23"/>
      <c r="C1407" s="2" t="s">
        <v>1052</v>
      </c>
      <c r="D1407" s="45" t="s">
        <v>1053</v>
      </c>
      <c r="E1407" s="46"/>
      <c r="F1407" s="46"/>
      <c r="G1407" s="46"/>
      <c r="H1407" s="46"/>
      <c r="I1407" s="47"/>
    </row>
    <row r="1408" spans="2:9" x14ac:dyDescent="0.25">
      <c r="B1408" s="23"/>
      <c r="I1408" s="26"/>
    </row>
    <row r="1409" spans="2:9" x14ac:dyDescent="0.25">
      <c r="B1409" s="23"/>
      <c r="C1409" s="51" t="s">
        <v>55</v>
      </c>
      <c r="D1409" s="46"/>
      <c r="E1409" s="46"/>
      <c r="F1409" s="46"/>
      <c r="G1409" s="46"/>
      <c r="H1409" s="46"/>
      <c r="I1409" s="47"/>
    </row>
    <row r="1410" spans="2:9" x14ac:dyDescent="0.25">
      <c r="B1410" s="23"/>
      <c r="I1410" s="26"/>
    </row>
    <row r="1411" spans="2:9" ht="77.849999999999994" customHeight="1" x14ac:dyDescent="0.25">
      <c r="B1411" s="24" t="s">
        <v>1054</v>
      </c>
      <c r="C1411" s="18" t="s">
        <v>485</v>
      </c>
      <c r="D1411" s="52" t="s">
        <v>1055</v>
      </c>
      <c r="E1411" s="53"/>
      <c r="F1411" s="53"/>
      <c r="G1411" s="53"/>
      <c r="H1411" s="53"/>
      <c r="I1411" s="54"/>
    </row>
    <row r="1412" spans="2:9" ht="19.899999999999999" customHeight="1" x14ac:dyDescent="0.25">
      <c r="B1412" s="23"/>
      <c r="C1412" s="2" t="s">
        <v>1056</v>
      </c>
      <c r="D1412" s="45" t="s">
        <v>1057</v>
      </c>
      <c r="E1412" s="46"/>
      <c r="F1412" s="46"/>
      <c r="G1412" s="46"/>
      <c r="H1412" s="46"/>
      <c r="I1412" s="47"/>
    </row>
    <row r="1413" spans="2:9" ht="19.899999999999999" customHeight="1" x14ac:dyDescent="0.25">
      <c r="B1413" s="23"/>
      <c r="C1413" s="2" t="s">
        <v>1058</v>
      </c>
      <c r="D1413" s="45" t="s">
        <v>1059</v>
      </c>
      <c r="E1413" s="46"/>
      <c r="F1413" s="46"/>
      <c r="G1413" s="46"/>
      <c r="H1413" s="46"/>
      <c r="I1413" s="47"/>
    </row>
    <row r="1414" spans="2:9" ht="19.899999999999999" customHeight="1" x14ac:dyDescent="0.25">
      <c r="B1414" s="23"/>
      <c r="C1414" s="2" t="s">
        <v>1060</v>
      </c>
      <c r="D1414" s="45" t="s">
        <v>1061</v>
      </c>
      <c r="E1414" s="46"/>
      <c r="F1414" s="46"/>
      <c r="G1414" s="46"/>
      <c r="H1414" s="46"/>
      <c r="I1414" s="47"/>
    </row>
    <row r="1415" spans="2:9" ht="19.899999999999999" customHeight="1" x14ac:dyDescent="0.25">
      <c r="B1415" s="23"/>
      <c r="C1415" s="2" t="s">
        <v>1062</v>
      </c>
      <c r="D1415" s="45" t="s">
        <v>1063</v>
      </c>
      <c r="E1415" s="46"/>
      <c r="F1415" s="46"/>
      <c r="G1415" s="46"/>
      <c r="H1415" s="46"/>
      <c r="I1415" s="47"/>
    </row>
    <row r="1416" spans="2:9" ht="19.899999999999999" customHeight="1" x14ac:dyDescent="0.25">
      <c r="B1416" s="23"/>
      <c r="C1416" s="2" t="s">
        <v>1064</v>
      </c>
      <c r="D1416" s="45" t="s">
        <v>1065</v>
      </c>
      <c r="E1416" s="46"/>
      <c r="F1416" s="46"/>
      <c r="G1416" s="46"/>
      <c r="H1416" s="46"/>
      <c r="I1416" s="47"/>
    </row>
    <row r="1417" spans="2:9" ht="19.899999999999999" customHeight="1" x14ac:dyDescent="0.25">
      <c r="B1417" s="23"/>
      <c r="C1417" s="2" t="s">
        <v>1066</v>
      </c>
      <c r="D1417" s="45" t="s">
        <v>1067</v>
      </c>
      <c r="E1417" s="46"/>
      <c r="F1417" s="46"/>
      <c r="G1417" s="46"/>
      <c r="H1417" s="46"/>
      <c r="I1417" s="47"/>
    </row>
    <row r="1418" spans="2:9" ht="19.899999999999999" customHeight="1" x14ac:dyDescent="0.25">
      <c r="B1418" s="23"/>
      <c r="C1418" s="2" t="s">
        <v>1068</v>
      </c>
      <c r="D1418" s="45" t="s">
        <v>1069</v>
      </c>
      <c r="E1418" s="46"/>
      <c r="F1418" s="46"/>
      <c r="G1418" s="46"/>
      <c r="H1418" s="46"/>
      <c r="I1418" s="47"/>
    </row>
    <row r="1419" spans="2:9" ht="19.899999999999999" customHeight="1" x14ac:dyDescent="0.25">
      <c r="B1419" s="23"/>
      <c r="C1419" s="2" t="s">
        <v>1070</v>
      </c>
      <c r="D1419" s="45" t="s">
        <v>1071</v>
      </c>
      <c r="E1419" s="46"/>
      <c r="F1419" s="46"/>
      <c r="G1419" s="46"/>
      <c r="H1419" s="46"/>
      <c r="I1419" s="47"/>
    </row>
    <row r="1420" spans="2:9" ht="19.899999999999999" customHeight="1" x14ac:dyDescent="0.25">
      <c r="B1420" s="23"/>
      <c r="C1420" s="2" t="s">
        <v>1072</v>
      </c>
      <c r="D1420" s="45" t="s">
        <v>1073</v>
      </c>
      <c r="E1420" s="46"/>
      <c r="F1420" s="46"/>
      <c r="G1420" s="46"/>
      <c r="H1420" s="46"/>
      <c r="I1420" s="47"/>
    </row>
    <row r="1421" spans="2:9" x14ac:dyDescent="0.25">
      <c r="B1421" s="23"/>
      <c r="I1421" s="26"/>
    </row>
    <row r="1422" spans="2:9" x14ac:dyDescent="0.25">
      <c r="B1422" s="23"/>
      <c r="C1422" s="55" t="s">
        <v>60</v>
      </c>
      <c r="D1422" s="46"/>
      <c r="E1422" s="46"/>
      <c r="F1422" s="46"/>
      <c r="G1422" s="46"/>
      <c r="H1422" s="46"/>
      <c r="I1422" s="47"/>
    </row>
    <row r="1423" spans="2:9" x14ac:dyDescent="0.25">
      <c r="B1423" s="23"/>
      <c r="I1423" s="26"/>
    </row>
    <row r="1424" spans="2:9" ht="77.849999999999994" customHeight="1" x14ac:dyDescent="0.25">
      <c r="B1424" s="24" t="s">
        <v>1074</v>
      </c>
      <c r="C1424" s="19" t="s">
        <v>220</v>
      </c>
      <c r="D1424" s="52" t="s">
        <v>1075</v>
      </c>
      <c r="E1424" s="53"/>
      <c r="F1424" s="53"/>
      <c r="G1424" s="53"/>
      <c r="H1424" s="53"/>
      <c r="I1424" s="54"/>
    </row>
    <row r="1425" spans="2:9" x14ac:dyDescent="0.25">
      <c r="B1425" s="23"/>
      <c r="C1425" s="2" t="s">
        <v>222</v>
      </c>
      <c r="I1425" s="26"/>
    </row>
    <row r="1426" spans="2:9" x14ac:dyDescent="0.25">
      <c r="B1426" s="23"/>
      <c r="I1426" s="26"/>
    </row>
    <row r="1427" spans="2:9" x14ac:dyDescent="0.25">
      <c r="B1427" s="23"/>
      <c r="C1427" s="55" t="s">
        <v>60</v>
      </c>
      <c r="D1427" s="46"/>
      <c r="E1427" s="46"/>
      <c r="F1427" s="46"/>
      <c r="G1427" s="46"/>
      <c r="H1427" s="46"/>
      <c r="I1427" s="47"/>
    </row>
    <row r="1428" spans="2:9" x14ac:dyDescent="0.25">
      <c r="B1428" s="23"/>
      <c r="I1428" s="26"/>
    </row>
    <row r="1429" spans="2:9" ht="77.849999999999994" customHeight="1" x14ac:dyDescent="0.25">
      <c r="B1429" s="24" t="s">
        <v>1076</v>
      </c>
      <c r="C1429" s="18" t="s">
        <v>1024</v>
      </c>
      <c r="D1429" s="52" t="s">
        <v>1077</v>
      </c>
      <c r="E1429" s="53"/>
      <c r="F1429" s="53"/>
      <c r="G1429" s="53"/>
      <c r="H1429" s="53"/>
      <c r="I1429" s="54"/>
    </row>
    <row r="1430" spans="2:9" ht="19.899999999999999" customHeight="1" x14ac:dyDescent="0.25">
      <c r="B1430" s="23"/>
      <c r="C1430" s="2" t="s">
        <v>289</v>
      </c>
      <c r="D1430" s="45" t="s">
        <v>635</v>
      </c>
      <c r="E1430" s="46"/>
      <c r="F1430" s="46"/>
      <c r="G1430" s="46"/>
      <c r="H1430" s="46"/>
      <c r="I1430" s="47"/>
    </row>
    <row r="1431" spans="2:9" ht="19.899999999999999" customHeight="1" x14ac:dyDescent="0.25">
      <c r="B1431" s="23"/>
      <c r="C1431" s="2" t="s">
        <v>1078</v>
      </c>
      <c r="D1431" s="45" t="s">
        <v>1079</v>
      </c>
      <c r="E1431" s="46"/>
      <c r="F1431" s="46"/>
      <c r="G1431" s="46"/>
      <c r="H1431" s="46"/>
      <c r="I1431" s="47"/>
    </row>
    <row r="1432" spans="2:9" ht="19.899999999999999" customHeight="1" x14ac:dyDescent="0.25">
      <c r="B1432" s="23"/>
      <c r="C1432" s="2" t="s">
        <v>1080</v>
      </c>
      <c r="D1432" s="45" t="s">
        <v>1081</v>
      </c>
      <c r="E1432" s="46"/>
      <c r="F1432" s="46"/>
      <c r="G1432" s="46"/>
      <c r="H1432" s="46"/>
      <c r="I1432" s="47"/>
    </row>
    <row r="1433" spans="2:9" x14ac:dyDescent="0.25">
      <c r="B1433" s="23"/>
      <c r="I1433" s="26"/>
    </row>
    <row r="1434" spans="2:9" x14ac:dyDescent="0.25">
      <c r="B1434" s="23"/>
      <c r="C1434" s="55" t="s">
        <v>60</v>
      </c>
      <c r="D1434" s="46"/>
      <c r="E1434" s="46"/>
      <c r="F1434" s="46"/>
      <c r="G1434" s="46"/>
      <c r="H1434" s="46"/>
      <c r="I1434" s="47"/>
    </row>
    <row r="1435" spans="2:9" x14ac:dyDescent="0.25">
      <c r="B1435" s="23"/>
      <c r="I1435" s="26"/>
    </row>
    <row r="1436" spans="2:9" ht="48.95" customHeight="1" x14ac:dyDescent="0.25">
      <c r="B1436" s="24" t="s">
        <v>1082</v>
      </c>
      <c r="C1436" s="19" t="str">
        <f>HYPERLINK("#'Json-dokumentation'!A3043", "Element av typen 'MöjligDonator2009'")</f>
        <v>Element av typen 'MöjligDonator2009'</v>
      </c>
      <c r="D1436" s="52" t="s">
        <v>1083</v>
      </c>
      <c r="E1436" s="53"/>
      <c r="F1436" s="53"/>
      <c r="G1436" s="53"/>
      <c r="H1436" s="53"/>
      <c r="I1436" s="54"/>
    </row>
    <row r="1437" spans="2:9" x14ac:dyDescent="0.25">
      <c r="B1437" s="23"/>
      <c r="C1437" s="55" t="s">
        <v>60</v>
      </c>
      <c r="D1437" s="46"/>
      <c r="E1437" s="46"/>
      <c r="F1437" s="46"/>
      <c r="G1437" s="46"/>
      <c r="H1437" s="46"/>
      <c r="I1437" s="47"/>
    </row>
    <row r="1438" spans="2:9" x14ac:dyDescent="0.25">
      <c r="B1438" s="23"/>
      <c r="I1438" s="26"/>
    </row>
    <row r="1439" spans="2:9" ht="19.899999999999999" customHeight="1" x14ac:dyDescent="0.25">
      <c r="B1439" s="24" t="s">
        <v>1084</v>
      </c>
      <c r="C1439" s="19" t="str">
        <f>HYPERLINK("#'Json-dokumentation'!A3066", "Element av typen 'BeslutadOrgandonation2009'")</f>
        <v>Element av typen 'BeslutadOrgandonation2009'</v>
      </c>
      <c r="D1439" s="52" t="s">
        <v>35</v>
      </c>
      <c r="E1439" s="53"/>
      <c r="F1439" s="53"/>
      <c r="G1439" s="53"/>
      <c r="H1439" s="53"/>
      <c r="I1439" s="54"/>
    </row>
    <row r="1440" spans="2:9" x14ac:dyDescent="0.25">
      <c r="B1440" s="23"/>
      <c r="C1440" s="55" t="s">
        <v>60</v>
      </c>
      <c r="D1440" s="46"/>
      <c r="E1440" s="46"/>
      <c r="F1440" s="46"/>
      <c r="G1440" s="46"/>
      <c r="H1440" s="46"/>
      <c r="I1440" s="47"/>
    </row>
    <row r="1441" spans="2:9" x14ac:dyDescent="0.25">
      <c r="B1441" s="23"/>
      <c r="I1441" s="26"/>
    </row>
    <row r="1442" spans="2:9" ht="34.35" customHeight="1" x14ac:dyDescent="0.25">
      <c r="B1442" s="24" t="s">
        <v>1085</v>
      </c>
      <c r="C1442" s="19" t="s">
        <v>220</v>
      </c>
      <c r="D1442" s="52" t="s">
        <v>1086</v>
      </c>
      <c r="E1442" s="53"/>
      <c r="F1442" s="53"/>
      <c r="G1442" s="53"/>
      <c r="H1442" s="53"/>
      <c r="I1442" s="54"/>
    </row>
    <row r="1443" spans="2:9" x14ac:dyDescent="0.25">
      <c r="B1443" s="23"/>
      <c r="C1443" s="2" t="s">
        <v>222</v>
      </c>
      <c r="I1443" s="26"/>
    </row>
    <row r="1444" spans="2:9" x14ac:dyDescent="0.25">
      <c r="B1444" s="23"/>
      <c r="I1444" s="26"/>
    </row>
    <row r="1445" spans="2:9" x14ac:dyDescent="0.25">
      <c r="B1445" s="23"/>
      <c r="C1445" s="51" t="s">
        <v>55</v>
      </c>
      <c r="D1445" s="46"/>
      <c r="E1445" s="46"/>
      <c r="F1445" s="46"/>
      <c r="G1445" s="46"/>
      <c r="H1445" s="46"/>
      <c r="I1445" s="47"/>
    </row>
    <row r="1446" spans="2:9" x14ac:dyDescent="0.25">
      <c r="B1446" s="25"/>
      <c r="C1446" s="21"/>
      <c r="D1446" s="21"/>
      <c r="E1446" s="21"/>
      <c r="F1446" s="21"/>
      <c r="G1446" s="21"/>
      <c r="H1446" s="21"/>
      <c r="I1446" s="27"/>
    </row>
    <row r="1448" spans="2:9" x14ac:dyDescent="0.25">
      <c r="B1448" s="3" t="s">
        <v>82</v>
      </c>
    </row>
    <row r="1449" spans="2:9" ht="19.899999999999999" customHeight="1" x14ac:dyDescent="0.25">
      <c r="B1449" s="29" t="s">
        <v>1087</v>
      </c>
      <c r="C1449" s="42" t="s">
        <v>1088</v>
      </c>
      <c r="D1449" s="43"/>
      <c r="E1449" s="43"/>
      <c r="F1449" s="43"/>
      <c r="G1449" s="43"/>
      <c r="H1449" s="43"/>
      <c r="I1449" s="44"/>
    </row>
    <row r="1450" spans="2:9" ht="19.899999999999999" customHeight="1" x14ac:dyDescent="0.25">
      <c r="B1450" s="30" t="s">
        <v>1089</v>
      </c>
      <c r="C1450" s="52" t="s">
        <v>1090</v>
      </c>
      <c r="D1450" s="53"/>
      <c r="E1450" s="46"/>
      <c r="F1450" s="46"/>
      <c r="G1450" s="46"/>
      <c r="H1450" s="46"/>
      <c r="I1450" s="47"/>
    </row>
    <row r="1451" spans="2:9" ht="19.899999999999999" customHeight="1" x14ac:dyDescent="0.25">
      <c r="B1451" s="30" t="s">
        <v>1091</v>
      </c>
      <c r="C1451" s="52" t="s">
        <v>1092</v>
      </c>
      <c r="D1451" s="53"/>
      <c r="E1451" s="46"/>
      <c r="F1451" s="46"/>
      <c r="G1451" s="46"/>
      <c r="H1451" s="46"/>
      <c r="I1451" s="47"/>
    </row>
    <row r="1452" spans="2:9" ht="19.899999999999999" customHeight="1" x14ac:dyDescent="0.25">
      <c r="B1452" s="30" t="s">
        <v>1093</v>
      </c>
      <c r="C1452" s="52" t="s">
        <v>1094</v>
      </c>
      <c r="D1452" s="53"/>
      <c r="E1452" s="46"/>
      <c r="F1452" s="46"/>
      <c r="G1452" s="46"/>
      <c r="H1452" s="46"/>
      <c r="I1452" s="47"/>
    </row>
    <row r="1453" spans="2:9" ht="19.899999999999999" customHeight="1" x14ac:dyDescent="0.25">
      <c r="B1453" s="30" t="s">
        <v>1095</v>
      </c>
      <c r="C1453" s="52" t="s">
        <v>1096</v>
      </c>
      <c r="D1453" s="53"/>
      <c r="E1453" s="46"/>
      <c r="F1453" s="46"/>
      <c r="G1453" s="46"/>
      <c r="H1453" s="46"/>
      <c r="I1453" s="47"/>
    </row>
    <row r="1454" spans="2:9" ht="34.35" customHeight="1" x14ac:dyDescent="0.25">
      <c r="B1454" s="30" t="s">
        <v>1097</v>
      </c>
      <c r="C1454" s="52" t="s">
        <v>1098</v>
      </c>
      <c r="D1454" s="53"/>
      <c r="E1454" s="46"/>
      <c r="F1454" s="46"/>
      <c r="G1454" s="46"/>
      <c r="H1454" s="46"/>
      <c r="I1454" s="47"/>
    </row>
    <row r="1455" spans="2:9" ht="19.899999999999999" customHeight="1" x14ac:dyDescent="0.25">
      <c r="B1455" s="30" t="s">
        <v>1099</v>
      </c>
      <c r="C1455" s="52" t="s">
        <v>1100</v>
      </c>
      <c r="D1455" s="53"/>
      <c r="E1455" s="46"/>
      <c r="F1455" s="46"/>
      <c r="G1455" s="46"/>
      <c r="H1455" s="46"/>
      <c r="I1455" s="47"/>
    </row>
    <row r="1456" spans="2:9" ht="19.899999999999999" customHeight="1" x14ac:dyDescent="0.25">
      <c r="B1456" s="30" t="s">
        <v>1101</v>
      </c>
      <c r="C1456" s="52" t="s">
        <v>1102</v>
      </c>
      <c r="D1456" s="53"/>
      <c r="E1456" s="46"/>
      <c r="F1456" s="46"/>
      <c r="G1456" s="46"/>
      <c r="H1456" s="46"/>
      <c r="I1456" s="47"/>
    </row>
    <row r="1457" spans="1:9" ht="19.899999999999999" customHeight="1" x14ac:dyDescent="0.25">
      <c r="B1457" s="30" t="s">
        <v>1103</v>
      </c>
      <c r="C1457" s="52" t="s">
        <v>1104</v>
      </c>
      <c r="D1457" s="53"/>
      <c r="E1457" s="46"/>
      <c r="F1457" s="46"/>
      <c r="G1457" s="46"/>
      <c r="H1457" s="46"/>
      <c r="I1457" s="47"/>
    </row>
    <row r="1458" spans="1:9" ht="19.899999999999999" customHeight="1" x14ac:dyDescent="0.25">
      <c r="B1458" s="30" t="s">
        <v>1105</v>
      </c>
      <c r="C1458" s="52" t="s">
        <v>1106</v>
      </c>
      <c r="D1458" s="53"/>
      <c r="E1458" s="46"/>
      <c r="F1458" s="46"/>
      <c r="G1458" s="46"/>
      <c r="H1458" s="46"/>
      <c r="I1458" s="47"/>
    </row>
    <row r="1459" spans="1:9" ht="19.899999999999999" customHeight="1" x14ac:dyDescent="0.25">
      <c r="B1459" s="30" t="s">
        <v>1107</v>
      </c>
      <c r="C1459" s="52" t="s">
        <v>1108</v>
      </c>
      <c r="D1459" s="53"/>
      <c r="E1459" s="46"/>
      <c r="F1459" s="46"/>
      <c r="G1459" s="46"/>
      <c r="H1459" s="46"/>
      <c r="I1459" s="47"/>
    </row>
    <row r="1460" spans="1:9" ht="19.899999999999999" customHeight="1" x14ac:dyDescent="0.25">
      <c r="B1460" s="30" t="s">
        <v>1109</v>
      </c>
      <c r="C1460" s="52" t="s">
        <v>1110</v>
      </c>
      <c r="D1460" s="53"/>
      <c r="E1460" s="46"/>
      <c r="F1460" s="46"/>
      <c r="G1460" s="46"/>
      <c r="H1460" s="46"/>
      <c r="I1460" s="47"/>
    </row>
    <row r="1461" spans="1:9" ht="19.899999999999999" customHeight="1" x14ac:dyDescent="0.25">
      <c r="B1461" s="30" t="s">
        <v>1111</v>
      </c>
      <c r="C1461" s="52" t="s">
        <v>1112</v>
      </c>
      <c r="D1461" s="53"/>
      <c r="E1461" s="46"/>
      <c r="F1461" s="46"/>
      <c r="G1461" s="46"/>
      <c r="H1461" s="46"/>
      <c r="I1461" s="47"/>
    </row>
    <row r="1462" spans="1:9" ht="19.899999999999999" customHeight="1" x14ac:dyDescent="0.25">
      <c r="B1462" s="30" t="s">
        <v>1113</v>
      </c>
      <c r="C1462" s="52" t="s">
        <v>1114</v>
      </c>
      <c r="D1462" s="53"/>
      <c r="E1462" s="46"/>
      <c r="F1462" s="46"/>
      <c r="G1462" s="46"/>
      <c r="H1462" s="46"/>
      <c r="I1462" s="47"/>
    </row>
    <row r="1463" spans="1:9" ht="19.899999999999999" customHeight="1" x14ac:dyDescent="0.25">
      <c r="B1463" s="30" t="s">
        <v>1115</v>
      </c>
      <c r="C1463" s="52" t="s">
        <v>1116</v>
      </c>
      <c r="D1463" s="53"/>
      <c r="E1463" s="46"/>
      <c r="F1463" s="46"/>
      <c r="G1463" s="46"/>
      <c r="H1463" s="46"/>
      <c r="I1463" s="47"/>
    </row>
    <row r="1464" spans="1:9" ht="19.899999999999999" customHeight="1" x14ac:dyDescent="0.25">
      <c r="B1464" s="31" t="s">
        <v>1117</v>
      </c>
      <c r="C1464" s="59" t="s">
        <v>1118</v>
      </c>
      <c r="D1464" s="60"/>
      <c r="E1464" s="49"/>
      <c r="F1464" s="49"/>
      <c r="G1464" s="49"/>
      <c r="H1464" s="49"/>
      <c r="I1464" s="50"/>
    </row>
    <row r="1468" spans="1:9" ht="77.849999999999994" customHeight="1" x14ac:dyDescent="0.25">
      <c r="A1468" s="45" t="s">
        <v>17</v>
      </c>
      <c r="B1468" s="46"/>
      <c r="C1468" s="46"/>
      <c r="D1468" s="46"/>
      <c r="E1468" s="46"/>
      <c r="F1468" s="46"/>
      <c r="G1468" s="46"/>
      <c r="H1468" s="46"/>
      <c r="I1468" s="46"/>
    </row>
    <row r="1469" spans="1:9" ht="18.75" x14ac:dyDescent="0.25">
      <c r="A1469" s="16" t="s">
        <v>1119</v>
      </c>
      <c r="B1469" s="3" t="s">
        <v>47</v>
      </c>
    </row>
    <row r="1470" spans="1:9" ht="63.4" customHeight="1" x14ac:dyDescent="0.25">
      <c r="B1470" s="22" t="s">
        <v>1023</v>
      </c>
      <c r="C1470" s="20" t="s">
        <v>1024</v>
      </c>
      <c r="D1470" s="42" t="s">
        <v>1120</v>
      </c>
      <c r="E1470" s="43"/>
      <c r="F1470" s="43"/>
      <c r="G1470" s="43"/>
      <c r="H1470" s="43"/>
      <c r="I1470" s="44"/>
    </row>
    <row r="1471" spans="1:9" ht="19.899999999999999" customHeight="1" x14ac:dyDescent="0.25">
      <c r="B1471" s="23"/>
      <c r="C1471" s="2" t="s">
        <v>289</v>
      </c>
      <c r="D1471" s="45" t="s">
        <v>635</v>
      </c>
      <c r="E1471" s="46"/>
      <c r="F1471" s="46"/>
      <c r="G1471" s="46"/>
      <c r="H1471" s="46"/>
      <c r="I1471" s="47"/>
    </row>
    <row r="1472" spans="1:9" ht="19.899999999999999" customHeight="1" x14ac:dyDescent="0.25">
      <c r="B1472" s="23"/>
      <c r="C1472" s="2" t="s">
        <v>1121</v>
      </c>
      <c r="D1472" s="45" t="s">
        <v>1122</v>
      </c>
      <c r="E1472" s="46"/>
      <c r="F1472" s="46"/>
      <c r="G1472" s="46"/>
      <c r="H1472" s="46"/>
      <c r="I1472" s="47"/>
    </row>
    <row r="1473" spans="2:9" ht="19.899999999999999" customHeight="1" x14ac:dyDescent="0.25">
      <c r="B1473" s="23"/>
      <c r="C1473" s="2" t="s">
        <v>1123</v>
      </c>
      <c r="D1473" s="45" t="s">
        <v>1124</v>
      </c>
      <c r="E1473" s="46"/>
      <c r="F1473" s="46"/>
      <c r="G1473" s="46"/>
      <c r="H1473" s="46"/>
      <c r="I1473" s="47"/>
    </row>
    <row r="1474" spans="2:9" ht="19.899999999999999" customHeight="1" x14ac:dyDescent="0.25">
      <c r="B1474" s="23"/>
      <c r="C1474" s="2" t="s">
        <v>1125</v>
      </c>
      <c r="D1474" s="45" t="s">
        <v>1126</v>
      </c>
      <c r="E1474" s="46"/>
      <c r="F1474" s="46"/>
      <c r="G1474" s="46"/>
      <c r="H1474" s="46"/>
      <c r="I1474" s="47"/>
    </row>
    <row r="1475" spans="2:9" x14ac:dyDescent="0.25">
      <c r="B1475" s="23"/>
      <c r="I1475" s="26"/>
    </row>
    <row r="1476" spans="2:9" x14ac:dyDescent="0.25">
      <c r="B1476" s="23"/>
      <c r="C1476" s="51" t="s">
        <v>55</v>
      </c>
      <c r="D1476" s="46"/>
      <c r="E1476" s="46"/>
      <c r="F1476" s="46"/>
      <c r="G1476" s="46"/>
      <c r="H1476" s="46"/>
      <c r="I1476" s="47"/>
    </row>
    <row r="1477" spans="2:9" x14ac:dyDescent="0.25">
      <c r="B1477" s="23"/>
      <c r="I1477" s="26"/>
    </row>
    <row r="1478" spans="2:9" ht="48.95" customHeight="1" x14ac:dyDescent="0.25">
      <c r="B1478" s="24" t="s">
        <v>1035</v>
      </c>
      <c r="C1478" s="18" t="s">
        <v>485</v>
      </c>
      <c r="D1478" s="52" t="s">
        <v>1127</v>
      </c>
      <c r="E1478" s="53"/>
      <c r="F1478" s="53"/>
      <c r="G1478" s="53"/>
      <c r="H1478" s="53"/>
      <c r="I1478" s="54"/>
    </row>
    <row r="1479" spans="2:9" ht="19.899999999999999" customHeight="1" x14ac:dyDescent="0.25">
      <c r="B1479" s="23"/>
      <c r="C1479" s="2" t="s">
        <v>1037</v>
      </c>
      <c r="D1479" s="45" t="s">
        <v>1128</v>
      </c>
      <c r="E1479" s="46"/>
      <c r="F1479" s="46"/>
      <c r="G1479" s="46"/>
      <c r="H1479" s="46"/>
      <c r="I1479" s="47"/>
    </row>
    <row r="1480" spans="2:9" ht="19.899999999999999" customHeight="1" x14ac:dyDescent="0.25">
      <c r="B1480" s="23"/>
      <c r="C1480" s="2" t="s">
        <v>1039</v>
      </c>
      <c r="D1480" s="45" t="s">
        <v>1040</v>
      </c>
      <c r="E1480" s="46"/>
      <c r="F1480" s="46"/>
      <c r="G1480" s="46"/>
      <c r="H1480" s="46"/>
      <c r="I1480" s="47"/>
    </row>
    <row r="1481" spans="2:9" ht="19.899999999999999" customHeight="1" x14ac:dyDescent="0.25">
      <c r="B1481" s="23"/>
      <c r="C1481" s="2" t="s">
        <v>1041</v>
      </c>
      <c r="D1481" s="45" t="s">
        <v>1042</v>
      </c>
      <c r="E1481" s="46"/>
      <c r="F1481" s="46"/>
      <c r="G1481" s="46"/>
      <c r="H1481" s="46"/>
      <c r="I1481" s="47"/>
    </row>
    <row r="1482" spans="2:9" ht="34.35" customHeight="1" x14ac:dyDescent="0.25">
      <c r="B1482" s="23"/>
      <c r="C1482" s="2" t="s">
        <v>1129</v>
      </c>
      <c r="D1482" s="45" t="s">
        <v>1130</v>
      </c>
      <c r="E1482" s="46"/>
      <c r="F1482" s="46"/>
      <c r="G1482" s="46"/>
      <c r="H1482" s="46"/>
      <c r="I1482" s="47"/>
    </row>
    <row r="1483" spans="2:9" x14ac:dyDescent="0.25">
      <c r="B1483" s="23"/>
      <c r="I1483" s="26"/>
    </row>
    <row r="1484" spans="2:9" x14ac:dyDescent="0.25">
      <c r="B1484" s="23"/>
      <c r="C1484" s="55" t="s">
        <v>60</v>
      </c>
      <c r="D1484" s="46"/>
      <c r="E1484" s="46"/>
      <c r="F1484" s="46"/>
      <c r="G1484" s="46"/>
      <c r="H1484" s="46"/>
      <c r="I1484" s="47"/>
    </row>
    <row r="1485" spans="2:9" x14ac:dyDescent="0.25">
      <c r="B1485" s="23"/>
      <c r="I1485" s="26"/>
    </row>
    <row r="1486" spans="2:9" ht="19.899999999999999" customHeight="1" x14ac:dyDescent="0.25">
      <c r="B1486" s="24" t="s">
        <v>1043</v>
      </c>
      <c r="C1486" s="19" t="s">
        <v>220</v>
      </c>
      <c r="D1486" s="52" t="s">
        <v>1131</v>
      </c>
      <c r="E1486" s="53"/>
      <c r="F1486" s="53"/>
      <c r="G1486" s="53"/>
      <c r="H1486" s="53"/>
      <c r="I1486" s="54"/>
    </row>
    <row r="1487" spans="2:9" x14ac:dyDescent="0.25">
      <c r="B1487" s="23"/>
      <c r="C1487" s="2" t="s">
        <v>222</v>
      </c>
      <c r="I1487" s="26"/>
    </row>
    <row r="1488" spans="2:9" x14ac:dyDescent="0.25">
      <c r="B1488" s="23"/>
      <c r="I1488" s="26"/>
    </row>
    <row r="1489" spans="2:9" x14ac:dyDescent="0.25">
      <c r="B1489" s="23"/>
      <c r="C1489" s="51" t="s">
        <v>55</v>
      </c>
      <c r="D1489" s="46"/>
      <c r="E1489" s="46"/>
      <c r="F1489" s="46"/>
      <c r="G1489" s="46"/>
      <c r="H1489" s="46"/>
      <c r="I1489" s="47"/>
    </row>
    <row r="1490" spans="2:9" x14ac:dyDescent="0.25">
      <c r="B1490" s="23"/>
      <c r="I1490" s="26"/>
    </row>
    <row r="1491" spans="2:9" ht="63.4" customHeight="1" x14ac:dyDescent="0.25">
      <c r="B1491" s="24" t="s">
        <v>1074</v>
      </c>
      <c r="C1491" s="19" t="s">
        <v>220</v>
      </c>
      <c r="D1491" s="52" t="s">
        <v>1132</v>
      </c>
      <c r="E1491" s="53"/>
      <c r="F1491" s="53"/>
      <c r="G1491" s="53"/>
      <c r="H1491" s="53"/>
      <c r="I1491" s="54"/>
    </row>
    <row r="1492" spans="2:9" x14ac:dyDescent="0.25">
      <c r="B1492" s="23"/>
      <c r="C1492" s="2" t="s">
        <v>222</v>
      </c>
      <c r="I1492" s="26"/>
    </row>
    <row r="1493" spans="2:9" x14ac:dyDescent="0.25">
      <c r="B1493" s="23"/>
      <c r="I1493" s="26"/>
    </row>
    <row r="1494" spans="2:9" x14ac:dyDescent="0.25">
      <c r="B1494" s="23"/>
      <c r="C1494" s="55" t="s">
        <v>60</v>
      </c>
      <c r="D1494" s="46"/>
      <c r="E1494" s="46"/>
      <c r="F1494" s="46"/>
      <c r="G1494" s="46"/>
      <c r="H1494" s="46"/>
      <c r="I1494" s="47"/>
    </row>
    <row r="1495" spans="2:9" x14ac:dyDescent="0.25">
      <c r="B1495" s="23"/>
      <c r="I1495" s="26"/>
    </row>
    <row r="1496" spans="2:9" ht="63.4" customHeight="1" x14ac:dyDescent="0.25">
      <c r="B1496" s="24" t="s">
        <v>1133</v>
      </c>
      <c r="C1496" s="18" t="s">
        <v>49</v>
      </c>
      <c r="D1496" s="52" t="s">
        <v>1134</v>
      </c>
      <c r="E1496" s="53"/>
      <c r="F1496" s="53"/>
      <c r="G1496" s="53"/>
      <c r="H1496" s="53"/>
      <c r="I1496" s="54"/>
    </row>
    <row r="1497" spans="2:9" ht="34.35" customHeight="1" x14ac:dyDescent="0.25">
      <c r="B1497" s="23"/>
      <c r="C1497" s="2" t="s">
        <v>489</v>
      </c>
      <c r="D1497" s="45" t="s">
        <v>1135</v>
      </c>
      <c r="E1497" s="46"/>
      <c r="F1497" s="46"/>
      <c r="G1497" s="46"/>
      <c r="H1497" s="46"/>
      <c r="I1497" s="47"/>
    </row>
    <row r="1498" spans="2:9" ht="48.95" customHeight="1" x14ac:dyDescent="0.25">
      <c r="B1498" s="23"/>
      <c r="C1498" s="2" t="s">
        <v>491</v>
      </c>
      <c r="D1498" s="45" t="s">
        <v>1136</v>
      </c>
      <c r="E1498" s="46"/>
      <c r="F1498" s="46"/>
      <c r="G1498" s="46"/>
      <c r="H1498" s="46"/>
      <c r="I1498" s="47"/>
    </row>
    <row r="1499" spans="2:9" ht="19.899999999999999" customHeight="1" x14ac:dyDescent="0.25">
      <c r="B1499" s="23"/>
      <c r="C1499" s="2" t="s">
        <v>1062</v>
      </c>
      <c r="D1499" s="45" t="s">
        <v>1063</v>
      </c>
      <c r="E1499" s="46"/>
      <c r="F1499" s="46"/>
      <c r="G1499" s="46"/>
      <c r="H1499" s="46"/>
      <c r="I1499" s="47"/>
    </row>
    <row r="1500" spans="2:9" x14ac:dyDescent="0.25">
      <c r="B1500" s="23"/>
      <c r="I1500" s="26"/>
    </row>
    <row r="1501" spans="2:9" x14ac:dyDescent="0.25">
      <c r="B1501" s="23"/>
      <c r="C1501" s="55" t="s">
        <v>60</v>
      </c>
      <c r="D1501" s="46"/>
      <c r="E1501" s="46"/>
      <c r="F1501" s="46"/>
      <c r="G1501" s="46"/>
      <c r="H1501" s="46"/>
      <c r="I1501" s="47"/>
    </row>
    <row r="1502" spans="2:9" x14ac:dyDescent="0.25">
      <c r="B1502" s="23"/>
      <c r="I1502" s="26"/>
    </row>
    <row r="1503" spans="2:9" ht="34.35" customHeight="1" x14ac:dyDescent="0.25">
      <c r="B1503" s="24" t="s">
        <v>1045</v>
      </c>
      <c r="C1503" s="18" t="s">
        <v>49</v>
      </c>
      <c r="D1503" s="52" t="s">
        <v>1137</v>
      </c>
      <c r="E1503" s="53"/>
      <c r="F1503" s="53"/>
      <c r="G1503" s="53"/>
      <c r="H1503" s="53"/>
      <c r="I1503" s="54"/>
    </row>
    <row r="1504" spans="2:9" ht="19.899999999999999" customHeight="1" x14ac:dyDescent="0.25">
      <c r="B1504" s="23"/>
      <c r="C1504" s="2" t="s">
        <v>1048</v>
      </c>
      <c r="D1504" s="45" t="s">
        <v>1138</v>
      </c>
      <c r="E1504" s="46"/>
      <c r="F1504" s="46"/>
      <c r="G1504" s="46"/>
      <c r="H1504" s="46"/>
      <c r="I1504" s="47"/>
    </row>
    <row r="1505" spans="2:9" ht="34.35" customHeight="1" x14ac:dyDescent="0.25">
      <c r="B1505" s="23"/>
      <c r="C1505" s="2" t="s">
        <v>1050</v>
      </c>
      <c r="D1505" s="45" t="s">
        <v>1139</v>
      </c>
      <c r="E1505" s="46"/>
      <c r="F1505" s="46"/>
      <c r="G1505" s="46"/>
      <c r="H1505" s="46"/>
      <c r="I1505" s="47"/>
    </row>
    <row r="1506" spans="2:9" ht="34.35" customHeight="1" x14ac:dyDescent="0.25">
      <c r="B1506" s="23"/>
      <c r="C1506" s="2" t="s">
        <v>1140</v>
      </c>
      <c r="D1506" s="45" t="s">
        <v>1141</v>
      </c>
      <c r="E1506" s="46"/>
      <c r="F1506" s="46"/>
      <c r="G1506" s="46"/>
      <c r="H1506" s="46"/>
      <c r="I1506" s="47"/>
    </row>
    <row r="1507" spans="2:9" x14ac:dyDescent="0.25">
      <c r="B1507" s="23"/>
      <c r="I1507" s="26"/>
    </row>
    <row r="1508" spans="2:9" x14ac:dyDescent="0.25">
      <c r="B1508" s="23"/>
      <c r="C1508" s="51" t="s">
        <v>55</v>
      </c>
      <c r="D1508" s="46"/>
      <c r="E1508" s="46"/>
      <c r="F1508" s="46"/>
      <c r="G1508" s="46"/>
      <c r="H1508" s="46"/>
      <c r="I1508" s="47"/>
    </row>
    <row r="1509" spans="2:9" x14ac:dyDescent="0.25">
      <c r="B1509" s="23"/>
      <c r="I1509" s="26"/>
    </row>
    <row r="1510" spans="2:9" ht="92.25" customHeight="1" x14ac:dyDescent="0.25">
      <c r="B1510" s="24" t="s">
        <v>1054</v>
      </c>
      <c r="C1510" s="18" t="s">
        <v>49</v>
      </c>
      <c r="D1510" s="52" t="s">
        <v>1142</v>
      </c>
      <c r="E1510" s="53"/>
      <c r="F1510" s="53"/>
      <c r="G1510" s="53"/>
      <c r="H1510" s="53"/>
      <c r="I1510" s="54"/>
    </row>
    <row r="1511" spans="2:9" ht="34.35" customHeight="1" x14ac:dyDescent="0.25">
      <c r="B1511" s="23"/>
      <c r="C1511" s="2" t="s">
        <v>1056</v>
      </c>
      <c r="D1511" s="45" t="s">
        <v>1143</v>
      </c>
      <c r="E1511" s="46"/>
      <c r="F1511" s="46"/>
      <c r="G1511" s="46"/>
      <c r="H1511" s="46"/>
      <c r="I1511" s="47"/>
    </row>
    <row r="1512" spans="2:9" ht="19.899999999999999" customHeight="1" x14ac:dyDescent="0.25">
      <c r="B1512" s="23"/>
      <c r="C1512" s="2" t="s">
        <v>1144</v>
      </c>
      <c r="D1512" s="45" t="s">
        <v>1145</v>
      </c>
      <c r="E1512" s="46"/>
      <c r="F1512" s="46"/>
      <c r="G1512" s="46"/>
      <c r="H1512" s="46"/>
      <c r="I1512" s="47"/>
    </row>
    <row r="1513" spans="2:9" ht="34.35" customHeight="1" x14ac:dyDescent="0.25">
      <c r="B1513" s="23"/>
      <c r="C1513" s="2" t="s">
        <v>1146</v>
      </c>
      <c r="D1513" s="45" t="s">
        <v>1147</v>
      </c>
      <c r="E1513" s="46"/>
      <c r="F1513" s="46"/>
      <c r="G1513" s="46"/>
      <c r="H1513" s="46"/>
      <c r="I1513" s="47"/>
    </row>
    <row r="1514" spans="2:9" ht="19.899999999999999" customHeight="1" x14ac:dyDescent="0.25">
      <c r="B1514" s="23"/>
      <c r="C1514" s="2" t="s">
        <v>1062</v>
      </c>
      <c r="D1514" s="45" t="s">
        <v>1063</v>
      </c>
      <c r="E1514" s="46"/>
      <c r="F1514" s="46"/>
      <c r="G1514" s="46"/>
      <c r="H1514" s="46"/>
      <c r="I1514" s="47"/>
    </row>
    <row r="1515" spans="2:9" ht="19.899999999999999" customHeight="1" x14ac:dyDescent="0.25">
      <c r="B1515" s="23"/>
      <c r="C1515" s="2" t="s">
        <v>1068</v>
      </c>
      <c r="D1515" s="45" t="s">
        <v>1069</v>
      </c>
      <c r="E1515" s="46"/>
      <c r="F1515" s="46"/>
      <c r="G1515" s="46"/>
      <c r="H1515" s="46"/>
      <c r="I1515" s="47"/>
    </row>
    <row r="1516" spans="2:9" ht="34.35" customHeight="1" x14ac:dyDescent="0.25">
      <c r="B1516" s="23"/>
      <c r="C1516" s="2" t="s">
        <v>1070</v>
      </c>
      <c r="D1516" s="45" t="s">
        <v>1148</v>
      </c>
      <c r="E1516" s="46"/>
      <c r="F1516" s="46"/>
      <c r="G1516" s="46"/>
      <c r="H1516" s="46"/>
      <c r="I1516" s="47"/>
    </row>
    <row r="1517" spans="2:9" ht="34.35" customHeight="1" x14ac:dyDescent="0.25">
      <c r="B1517" s="23"/>
      <c r="C1517" s="2" t="s">
        <v>1149</v>
      </c>
      <c r="D1517" s="45" t="s">
        <v>1150</v>
      </c>
      <c r="E1517" s="46"/>
      <c r="F1517" s="46"/>
      <c r="G1517" s="46"/>
      <c r="H1517" s="46"/>
      <c r="I1517" s="47"/>
    </row>
    <row r="1518" spans="2:9" ht="19.899999999999999" customHeight="1" x14ac:dyDescent="0.25">
      <c r="B1518" s="23"/>
      <c r="C1518" s="2" t="s">
        <v>1066</v>
      </c>
      <c r="D1518" s="45" t="s">
        <v>1151</v>
      </c>
      <c r="E1518" s="46"/>
      <c r="F1518" s="46"/>
      <c r="G1518" s="46"/>
      <c r="H1518" s="46"/>
      <c r="I1518" s="47"/>
    </row>
    <row r="1519" spans="2:9" x14ac:dyDescent="0.25">
      <c r="B1519" s="23"/>
      <c r="I1519" s="26"/>
    </row>
    <row r="1520" spans="2:9" x14ac:dyDescent="0.25">
      <c r="B1520" s="23"/>
      <c r="C1520" s="55" t="s">
        <v>60</v>
      </c>
      <c r="D1520" s="46"/>
      <c r="E1520" s="46"/>
      <c r="F1520" s="46"/>
      <c r="G1520" s="46"/>
      <c r="H1520" s="46"/>
      <c r="I1520" s="47"/>
    </row>
    <row r="1521" spans="2:9" x14ac:dyDescent="0.25">
      <c r="B1521" s="23"/>
      <c r="I1521" s="26"/>
    </row>
    <row r="1522" spans="2:9" ht="106.7" customHeight="1" x14ac:dyDescent="0.25">
      <c r="B1522" s="24" t="s">
        <v>1152</v>
      </c>
      <c r="C1522" s="18" t="s">
        <v>49</v>
      </c>
      <c r="D1522" s="52" t="s">
        <v>1153</v>
      </c>
      <c r="E1522" s="53"/>
      <c r="F1522" s="53"/>
      <c r="G1522" s="53"/>
      <c r="H1522" s="53"/>
      <c r="I1522" s="54"/>
    </row>
    <row r="1523" spans="2:9" ht="19.899999999999999" customHeight="1" x14ac:dyDescent="0.25">
      <c r="B1523" s="23"/>
      <c r="C1523" s="2" t="s">
        <v>1154</v>
      </c>
      <c r="D1523" s="45" t="s">
        <v>1155</v>
      </c>
      <c r="E1523" s="46"/>
      <c r="F1523" s="46"/>
      <c r="G1523" s="46"/>
      <c r="H1523" s="46"/>
      <c r="I1523" s="47"/>
    </row>
    <row r="1524" spans="2:9" ht="19.899999999999999" customHeight="1" x14ac:dyDescent="0.25">
      <c r="B1524" s="23"/>
      <c r="C1524" s="2" t="s">
        <v>1156</v>
      </c>
      <c r="D1524" s="45" t="s">
        <v>1157</v>
      </c>
      <c r="E1524" s="46"/>
      <c r="F1524" s="46"/>
      <c r="G1524" s="46"/>
      <c r="H1524" s="46"/>
      <c r="I1524" s="47"/>
    </row>
    <row r="1525" spans="2:9" ht="19.899999999999999" customHeight="1" x14ac:dyDescent="0.25">
      <c r="B1525" s="23"/>
      <c r="C1525" s="2" t="s">
        <v>1158</v>
      </c>
      <c r="D1525" s="45" t="s">
        <v>1159</v>
      </c>
      <c r="E1525" s="46"/>
      <c r="F1525" s="46"/>
      <c r="G1525" s="46"/>
      <c r="H1525" s="46"/>
      <c r="I1525" s="47"/>
    </row>
    <row r="1526" spans="2:9" ht="19.899999999999999" customHeight="1" x14ac:dyDescent="0.25">
      <c r="B1526" s="23"/>
      <c r="C1526" s="2" t="s">
        <v>1160</v>
      </c>
      <c r="D1526" s="45" t="s">
        <v>1161</v>
      </c>
      <c r="E1526" s="46"/>
      <c r="F1526" s="46"/>
      <c r="G1526" s="46"/>
      <c r="H1526" s="46"/>
      <c r="I1526" s="47"/>
    </row>
    <row r="1527" spans="2:9" ht="19.899999999999999" customHeight="1" x14ac:dyDescent="0.25">
      <c r="B1527" s="23"/>
      <c r="C1527" s="2" t="s">
        <v>1162</v>
      </c>
      <c r="D1527" s="45" t="s">
        <v>1163</v>
      </c>
      <c r="E1527" s="46"/>
      <c r="F1527" s="46"/>
      <c r="G1527" s="46"/>
      <c r="H1527" s="46"/>
      <c r="I1527" s="47"/>
    </row>
    <row r="1528" spans="2:9" ht="19.899999999999999" customHeight="1" x14ac:dyDescent="0.25">
      <c r="B1528" s="23"/>
      <c r="C1528" s="2" t="s">
        <v>1164</v>
      </c>
      <c r="D1528" s="45" t="s">
        <v>1165</v>
      </c>
      <c r="E1528" s="46"/>
      <c r="F1528" s="46"/>
      <c r="G1528" s="46"/>
      <c r="H1528" s="46"/>
      <c r="I1528" s="47"/>
    </row>
    <row r="1529" spans="2:9" x14ac:dyDescent="0.25">
      <c r="B1529" s="23"/>
      <c r="I1529" s="26"/>
    </row>
    <row r="1530" spans="2:9" x14ac:dyDescent="0.25">
      <c r="B1530" s="23"/>
      <c r="C1530" s="55" t="s">
        <v>60</v>
      </c>
      <c r="D1530" s="46"/>
      <c r="E1530" s="46"/>
      <c r="F1530" s="46"/>
      <c r="G1530" s="46"/>
      <c r="H1530" s="46"/>
      <c r="I1530" s="47"/>
    </row>
    <row r="1531" spans="2:9" x14ac:dyDescent="0.25">
      <c r="B1531" s="23"/>
      <c r="I1531" s="26"/>
    </row>
    <row r="1532" spans="2:9" ht="34.35" customHeight="1" x14ac:dyDescent="0.25">
      <c r="B1532" s="24" t="s">
        <v>1082</v>
      </c>
      <c r="C1532" s="19" t="str">
        <f>HYPERLINK("#'Json-dokumentation'!A3087", "Element av typen 'MöjligDonator2016'")</f>
        <v>Element av typen 'MöjligDonator2016'</v>
      </c>
      <c r="D1532" s="52" t="s">
        <v>1166</v>
      </c>
      <c r="E1532" s="53"/>
      <c r="F1532" s="53"/>
      <c r="G1532" s="53"/>
      <c r="H1532" s="53"/>
      <c r="I1532" s="54"/>
    </row>
    <row r="1533" spans="2:9" x14ac:dyDescent="0.25">
      <c r="B1533" s="23"/>
      <c r="C1533" s="55" t="s">
        <v>60</v>
      </c>
      <c r="D1533" s="46"/>
      <c r="E1533" s="46"/>
      <c r="F1533" s="46"/>
      <c r="G1533" s="46"/>
      <c r="H1533" s="46"/>
      <c r="I1533" s="47"/>
    </row>
    <row r="1534" spans="2:9" x14ac:dyDescent="0.25">
      <c r="B1534" s="23"/>
      <c r="I1534" s="26"/>
    </row>
    <row r="1535" spans="2:9" ht="34.35" customHeight="1" x14ac:dyDescent="0.25">
      <c r="B1535" s="24" t="s">
        <v>1085</v>
      </c>
      <c r="C1535" s="19" t="s">
        <v>220</v>
      </c>
      <c r="D1535" s="52" t="s">
        <v>1167</v>
      </c>
      <c r="E1535" s="53"/>
      <c r="F1535" s="53"/>
      <c r="G1535" s="53"/>
      <c r="H1535" s="53"/>
      <c r="I1535" s="54"/>
    </row>
    <row r="1536" spans="2:9" x14ac:dyDescent="0.25">
      <c r="B1536" s="23"/>
      <c r="C1536" s="2" t="s">
        <v>222</v>
      </c>
      <c r="I1536" s="26"/>
    </row>
    <row r="1537" spans="2:9" x14ac:dyDescent="0.25">
      <c r="B1537" s="23"/>
      <c r="I1537" s="26"/>
    </row>
    <row r="1538" spans="2:9" x14ac:dyDescent="0.25">
      <c r="B1538" s="23"/>
      <c r="C1538" s="51" t="s">
        <v>55</v>
      </c>
      <c r="D1538" s="46"/>
      <c r="E1538" s="46"/>
      <c r="F1538" s="46"/>
      <c r="G1538" s="46"/>
      <c r="H1538" s="46"/>
      <c r="I1538" s="47"/>
    </row>
    <row r="1539" spans="2:9" x14ac:dyDescent="0.25">
      <c r="B1539" s="23"/>
      <c r="I1539" s="26"/>
    </row>
    <row r="1540" spans="2:9" ht="92.25" customHeight="1" x14ac:dyDescent="0.25">
      <c r="B1540" s="24" t="s">
        <v>1168</v>
      </c>
      <c r="C1540" s="19" t="s">
        <v>220</v>
      </c>
      <c r="D1540" s="52" t="s">
        <v>1169</v>
      </c>
      <c r="E1540" s="53"/>
      <c r="F1540" s="53"/>
      <c r="G1540" s="53"/>
      <c r="H1540" s="53"/>
      <c r="I1540" s="54"/>
    </row>
    <row r="1541" spans="2:9" x14ac:dyDescent="0.25">
      <c r="B1541" s="23"/>
      <c r="C1541" s="2" t="s">
        <v>222</v>
      </c>
      <c r="I1541" s="26"/>
    </row>
    <row r="1542" spans="2:9" x14ac:dyDescent="0.25">
      <c r="B1542" s="23"/>
      <c r="I1542" s="26"/>
    </row>
    <row r="1543" spans="2:9" x14ac:dyDescent="0.25">
      <c r="B1543" s="23"/>
      <c r="C1543" s="55" t="s">
        <v>60</v>
      </c>
      <c r="D1543" s="46"/>
      <c r="E1543" s="46"/>
      <c r="F1543" s="46"/>
      <c r="G1543" s="46"/>
      <c r="H1543" s="46"/>
      <c r="I1543" s="47"/>
    </row>
    <row r="1544" spans="2:9" x14ac:dyDescent="0.25">
      <c r="B1544" s="25"/>
      <c r="C1544" s="21"/>
      <c r="D1544" s="21"/>
      <c r="E1544" s="21"/>
      <c r="F1544" s="21"/>
      <c r="G1544" s="21"/>
      <c r="H1544" s="21"/>
      <c r="I1544" s="27"/>
    </row>
    <row r="1546" spans="2:9" x14ac:dyDescent="0.25">
      <c r="B1546" s="3" t="s">
        <v>82</v>
      </c>
    </row>
    <row r="1547" spans="2:9" ht="19.899999999999999" customHeight="1" x14ac:dyDescent="0.25">
      <c r="B1547" s="29" t="s">
        <v>1170</v>
      </c>
      <c r="C1547" s="42" t="s">
        <v>1171</v>
      </c>
      <c r="D1547" s="43"/>
      <c r="E1547" s="43"/>
      <c r="F1547" s="43"/>
      <c r="G1547" s="43"/>
      <c r="H1547" s="43"/>
      <c r="I1547" s="44"/>
    </row>
    <row r="1548" spans="2:9" ht="19.899999999999999" customHeight="1" x14ac:dyDescent="0.25">
      <c r="B1548" s="30" t="s">
        <v>1172</v>
      </c>
      <c r="C1548" s="52" t="s">
        <v>1173</v>
      </c>
      <c r="D1548" s="53"/>
      <c r="E1548" s="46"/>
      <c r="F1548" s="46"/>
      <c r="G1548" s="46"/>
      <c r="H1548" s="46"/>
      <c r="I1548" s="47"/>
    </row>
    <row r="1549" spans="2:9" ht="19.899999999999999" customHeight="1" x14ac:dyDescent="0.25">
      <c r="B1549" s="30" t="s">
        <v>1174</v>
      </c>
      <c r="C1549" s="52" t="s">
        <v>1175</v>
      </c>
      <c r="D1549" s="53"/>
      <c r="E1549" s="46"/>
      <c r="F1549" s="46"/>
      <c r="G1549" s="46"/>
      <c r="H1549" s="46"/>
      <c r="I1549" s="47"/>
    </row>
    <row r="1550" spans="2:9" ht="19.899999999999999" customHeight="1" x14ac:dyDescent="0.25">
      <c r="B1550" s="30" t="s">
        <v>1176</v>
      </c>
      <c r="C1550" s="52" t="s">
        <v>1177</v>
      </c>
      <c r="D1550" s="53"/>
      <c r="E1550" s="46"/>
      <c r="F1550" s="46"/>
      <c r="G1550" s="46"/>
      <c r="H1550" s="46"/>
      <c r="I1550" s="47"/>
    </row>
    <row r="1551" spans="2:9" ht="19.899999999999999" customHeight="1" x14ac:dyDescent="0.25">
      <c r="B1551" s="30" t="s">
        <v>1178</v>
      </c>
      <c r="C1551" s="52" t="s">
        <v>1179</v>
      </c>
      <c r="D1551" s="53"/>
      <c r="E1551" s="46"/>
      <c r="F1551" s="46"/>
      <c r="G1551" s="46"/>
      <c r="H1551" s="46"/>
      <c r="I1551" s="47"/>
    </row>
    <row r="1552" spans="2:9" ht="34.35" customHeight="1" x14ac:dyDescent="0.25">
      <c r="B1552" s="30" t="s">
        <v>1180</v>
      </c>
      <c r="C1552" s="52" t="s">
        <v>1181</v>
      </c>
      <c r="D1552" s="53"/>
      <c r="E1552" s="46"/>
      <c r="F1552" s="46"/>
      <c r="G1552" s="46"/>
      <c r="H1552" s="46"/>
      <c r="I1552" s="47"/>
    </row>
    <row r="1553" spans="2:9" ht="34.35" customHeight="1" x14ac:dyDescent="0.25">
      <c r="B1553" s="30" t="s">
        <v>1182</v>
      </c>
      <c r="C1553" s="52" t="s">
        <v>1183</v>
      </c>
      <c r="D1553" s="53"/>
      <c r="E1553" s="46"/>
      <c r="F1553" s="46"/>
      <c r="G1553" s="46"/>
      <c r="H1553" s="46"/>
      <c r="I1553" s="47"/>
    </row>
    <row r="1554" spans="2:9" ht="63.4" customHeight="1" x14ac:dyDescent="0.25">
      <c r="B1554" s="30" t="s">
        <v>1184</v>
      </c>
      <c r="C1554" s="52" t="s">
        <v>1185</v>
      </c>
      <c r="D1554" s="53"/>
      <c r="E1554" s="46"/>
      <c r="F1554" s="46"/>
      <c r="G1554" s="46"/>
      <c r="H1554" s="46"/>
      <c r="I1554" s="47"/>
    </row>
    <row r="1555" spans="2:9" ht="34.35" customHeight="1" x14ac:dyDescent="0.25">
      <c r="B1555" s="30" t="s">
        <v>1186</v>
      </c>
      <c r="C1555" s="52" t="s">
        <v>1187</v>
      </c>
      <c r="D1555" s="53"/>
      <c r="E1555" s="46"/>
      <c r="F1555" s="46"/>
      <c r="G1555" s="46"/>
      <c r="H1555" s="46"/>
      <c r="I1555" s="47"/>
    </row>
    <row r="1556" spans="2:9" ht="34.35" customHeight="1" x14ac:dyDescent="0.25">
      <c r="B1556" s="30" t="s">
        <v>1188</v>
      </c>
      <c r="C1556" s="52" t="s">
        <v>1189</v>
      </c>
      <c r="D1556" s="53"/>
      <c r="E1556" s="46"/>
      <c r="F1556" s="46"/>
      <c r="G1556" s="46"/>
      <c r="H1556" s="46"/>
      <c r="I1556" s="47"/>
    </row>
    <row r="1557" spans="2:9" ht="34.35" customHeight="1" x14ac:dyDescent="0.25">
      <c r="B1557" s="30" t="s">
        <v>1190</v>
      </c>
      <c r="C1557" s="52" t="s">
        <v>1191</v>
      </c>
      <c r="D1557" s="53"/>
      <c r="E1557" s="46"/>
      <c r="F1557" s="46"/>
      <c r="G1557" s="46"/>
      <c r="H1557" s="46"/>
      <c r="I1557" s="47"/>
    </row>
    <row r="1558" spans="2:9" ht="34.35" customHeight="1" x14ac:dyDescent="0.25">
      <c r="B1558" s="30" t="s">
        <v>1192</v>
      </c>
      <c r="C1558" s="52" t="s">
        <v>1193</v>
      </c>
      <c r="D1558" s="53"/>
      <c r="E1558" s="46"/>
      <c r="F1558" s="46"/>
      <c r="G1558" s="46"/>
      <c r="H1558" s="46"/>
      <c r="I1558" s="47"/>
    </row>
    <row r="1559" spans="2:9" ht="19.899999999999999" customHeight="1" x14ac:dyDescent="0.25">
      <c r="B1559" s="30" t="s">
        <v>1194</v>
      </c>
      <c r="C1559" s="52" t="s">
        <v>1195</v>
      </c>
      <c r="D1559" s="53"/>
      <c r="E1559" s="46"/>
      <c r="F1559" s="46"/>
      <c r="G1559" s="46"/>
      <c r="H1559" s="46"/>
      <c r="I1559" s="47"/>
    </row>
    <row r="1560" spans="2:9" ht="19.899999999999999" customHeight="1" x14ac:dyDescent="0.25">
      <c r="B1560" s="30" t="s">
        <v>1196</v>
      </c>
      <c r="C1560" s="52" t="s">
        <v>1197</v>
      </c>
      <c r="D1560" s="53"/>
      <c r="E1560" s="46"/>
      <c r="F1560" s="46"/>
      <c r="G1560" s="46"/>
      <c r="H1560" s="46"/>
      <c r="I1560" s="47"/>
    </row>
    <row r="1561" spans="2:9" ht="19.899999999999999" customHeight="1" x14ac:dyDescent="0.25">
      <c r="B1561" s="30" t="s">
        <v>1198</v>
      </c>
      <c r="C1561" s="52" t="s">
        <v>1199</v>
      </c>
      <c r="D1561" s="53"/>
      <c r="E1561" s="46"/>
      <c r="F1561" s="46"/>
      <c r="G1561" s="46"/>
      <c r="H1561" s="46"/>
      <c r="I1561" s="47"/>
    </row>
    <row r="1562" spans="2:9" ht="19.899999999999999" customHeight="1" x14ac:dyDescent="0.25">
      <c r="B1562" s="30" t="s">
        <v>1200</v>
      </c>
      <c r="C1562" s="52" t="s">
        <v>1112</v>
      </c>
      <c r="D1562" s="53"/>
      <c r="E1562" s="46"/>
      <c r="F1562" s="46"/>
      <c r="G1562" s="46"/>
      <c r="H1562" s="46"/>
      <c r="I1562" s="47"/>
    </row>
    <row r="1563" spans="2:9" ht="19.899999999999999" customHeight="1" x14ac:dyDescent="0.25">
      <c r="B1563" s="30" t="s">
        <v>1201</v>
      </c>
      <c r="C1563" s="52" t="s">
        <v>1202</v>
      </c>
      <c r="D1563" s="53"/>
      <c r="E1563" s="46"/>
      <c r="F1563" s="46"/>
      <c r="G1563" s="46"/>
      <c r="H1563" s="46"/>
      <c r="I1563" s="47"/>
    </row>
    <row r="1564" spans="2:9" ht="19.899999999999999" customHeight="1" x14ac:dyDescent="0.25">
      <c r="B1564" s="30" t="s">
        <v>1203</v>
      </c>
      <c r="C1564" s="52" t="s">
        <v>1204</v>
      </c>
      <c r="D1564" s="53"/>
      <c r="E1564" s="46"/>
      <c r="F1564" s="46"/>
      <c r="G1564" s="46"/>
      <c r="H1564" s="46"/>
      <c r="I1564" s="47"/>
    </row>
    <row r="1565" spans="2:9" ht="19.899999999999999" customHeight="1" x14ac:dyDescent="0.25">
      <c r="B1565" s="31" t="s">
        <v>1205</v>
      </c>
      <c r="C1565" s="59" t="s">
        <v>1206</v>
      </c>
      <c r="D1565" s="60"/>
      <c r="E1565" s="49"/>
      <c r="F1565" s="49"/>
      <c r="G1565" s="49"/>
      <c r="H1565" s="49"/>
      <c r="I1565" s="50"/>
    </row>
    <row r="1569" spans="1:10" ht="48.95" customHeight="1" x14ac:dyDescent="0.25">
      <c r="A1569" s="45" t="s">
        <v>18</v>
      </c>
      <c r="B1569" s="46"/>
      <c r="C1569" s="46"/>
      <c r="D1569" s="46"/>
      <c r="E1569" s="46"/>
      <c r="F1569" s="46"/>
      <c r="G1569" s="46"/>
      <c r="H1569" s="46"/>
      <c r="I1569" s="46"/>
    </row>
    <row r="1570" spans="1:10" ht="18.75" x14ac:dyDescent="0.25">
      <c r="A1570" s="16" t="s">
        <v>1207</v>
      </c>
      <c r="B1570" s="3" t="s">
        <v>47</v>
      </c>
      <c r="J1570" s="17" t="str">
        <f>HYPERLINK("#'Ändringshistorik'!C366", "Ändringshistorik: [11] ,[12] ,[13] ,[14]")</f>
        <v>Ändringshistorik: [11] ,[12] ,[13] ,[14]</v>
      </c>
    </row>
    <row r="1571" spans="1:10" ht="34.35" customHeight="1" x14ac:dyDescent="0.25">
      <c r="B1571" s="22" t="s">
        <v>1023</v>
      </c>
      <c r="C1571" s="32" t="s">
        <v>220</v>
      </c>
      <c r="D1571" s="42" t="s">
        <v>1120</v>
      </c>
      <c r="E1571" s="43"/>
      <c r="F1571" s="43"/>
      <c r="G1571" s="43"/>
      <c r="H1571" s="43"/>
      <c r="I1571" s="44"/>
    </row>
    <row r="1572" spans="1:10" x14ac:dyDescent="0.25">
      <c r="B1572" s="23"/>
      <c r="C1572" s="2" t="s">
        <v>222</v>
      </c>
      <c r="I1572" s="26"/>
    </row>
    <row r="1573" spans="1:10" x14ac:dyDescent="0.25">
      <c r="B1573" s="23"/>
      <c r="I1573" s="26"/>
    </row>
    <row r="1574" spans="1:10" x14ac:dyDescent="0.25">
      <c r="B1574" s="23"/>
      <c r="C1574" s="51" t="s">
        <v>55</v>
      </c>
      <c r="D1574" s="46"/>
      <c r="E1574" s="46"/>
      <c r="F1574" s="46"/>
      <c r="G1574" s="46"/>
      <c r="H1574" s="46"/>
      <c r="I1574" s="47"/>
    </row>
    <row r="1575" spans="1:10" x14ac:dyDescent="0.25">
      <c r="B1575" s="23"/>
      <c r="I1575" s="26"/>
    </row>
    <row r="1576" spans="1:10" ht="63.4" customHeight="1" x14ac:dyDescent="0.25">
      <c r="B1576" s="24" t="s">
        <v>1035</v>
      </c>
      <c r="C1576" s="18" t="s">
        <v>485</v>
      </c>
      <c r="D1576" s="52" t="s">
        <v>1208</v>
      </c>
      <c r="E1576" s="53"/>
      <c r="F1576" s="53"/>
      <c r="G1576" s="53"/>
      <c r="H1576" s="53"/>
      <c r="I1576" s="54"/>
    </row>
    <row r="1577" spans="1:10" ht="19.899999999999999" customHeight="1" x14ac:dyDescent="0.25">
      <c r="B1577" s="23"/>
      <c r="C1577" s="2" t="s">
        <v>1209</v>
      </c>
      <c r="D1577" s="45" t="s">
        <v>1210</v>
      </c>
      <c r="E1577" s="46"/>
      <c r="F1577" s="46"/>
      <c r="G1577" s="46"/>
      <c r="H1577" s="46"/>
      <c r="I1577" s="47"/>
    </row>
    <row r="1578" spans="1:10" ht="19.899999999999999" customHeight="1" x14ac:dyDescent="0.25">
      <c r="B1578" s="23"/>
      <c r="C1578" s="2" t="s">
        <v>1039</v>
      </c>
      <c r="D1578" s="45" t="s">
        <v>1040</v>
      </c>
      <c r="E1578" s="46"/>
      <c r="F1578" s="46"/>
      <c r="G1578" s="46"/>
      <c r="H1578" s="46"/>
      <c r="I1578" s="47"/>
    </row>
    <row r="1579" spans="1:10" ht="19.899999999999999" customHeight="1" x14ac:dyDescent="0.25">
      <c r="B1579" s="23"/>
      <c r="C1579" s="2" t="s">
        <v>1041</v>
      </c>
      <c r="D1579" s="45" t="s">
        <v>1042</v>
      </c>
      <c r="E1579" s="46"/>
      <c r="F1579" s="46"/>
      <c r="G1579" s="46"/>
      <c r="H1579" s="46"/>
      <c r="I1579" s="47"/>
    </row>
    <row r="1580" spans="1:10" ht="34.35" customHeight="1" x14ac:dyDescent="0.25">
      <c r="B1580" s="23"/>
      <c r="C1580" s="2" t="s">
        <v>1129</v>
      </c>
      <c r="D1580" s="45" t="s">
        <v>1130</v>
      </c>
      <c r="E1580" s="46"/>
      <c r="F1580" s="46"/>
      <c r="G1580" s="46"/>
      <c r="H1580" s="46"/>
      <c r="I1580" s="47"/>
    </row>
    <row r="1581" spans="1:10" x14ac:dyDescent="0.25">
      <c r="B1581" s="23"/>
      <c r="I1581" s="26"/>
    </row>
    <row r="1582" spans="1:10" x14ac:dyDescent="0.25">
      <c r="B1582" s="23"/>
      <c r="C1582" s="55" t="s">
        <v>60</v>
      </c>
      <c r="D1582" s="46"/>
      <c r="E1582" s="46"/>
      <c r="F1582" s="46"/>
      <c r="G1582" s="46"/>
      <c r="H1582" s="46"/>
      <c r="I1582" s="47"/>
    </row>
    <row r="1583" spans="1:10" x14ac:dyDescent="0.25">
      <c r="B1583" s="23"/>
      <c r="I1583" s="26"/>
    </row>
    <row r="1584" spans="1:10" ht="77.849999999999994" customHeight="1" x14ac:dyDescent="0.25">
      <c r="B1584" s="24" t="s">
        <v>1211</v>
      </c>
      <c r="C1584" s="19" t="s">
        <v>220</v>
      </c>
      <c r="D1584" s="52" t="s">
        <v>1212</v>
      </c>
      <c r="E1584" s="53"/>
      <c r="F1584" s="53"/>
      <c r="G1584" s="53"/>
      <c r="H1584" s="53"/>
      <c r="I1584" s="54"/>
    </row>
    <row r="1585" spans="2:9" x14ac:dyDescent="0.25">
      <c r="B1585" s="23"/>
      <c r="C1585" s="2" t="s">
        <v>222</v>
      </c>
      <c r="I1585" s="26"/>
    </row>
    <row r="1586" spans="2:9" x14ac:dyDescent="0.25">
      <c r="B1586" s="23"/>
      <c r="I1586" s="26"/>
    </row>
    <row r="1587" spans="2:9" x14ac:dyDescent="0.25">
      <c r="B1587" s="23"/>
      <c r="C1587" s="55" t="s">
        <v>60</v>
      </c>
      <c r="D1587" s="46"/>
      <c r="E1587" s="46"/>
      <c r="F1587" s="46"/>
      <c r="G1587" s="46"/>
      <c r="H1587" s="46"/>
      <c r="I1587" s="47"/>
    </row>
    <row r="1588" spans="2:9" x14ac:dyDescent="0.25">
      <c r="B1588" s="23"/>
      <c r="I1588" s="26"/>
    </row>
    <row r="1589" spans="2:9" ht="19.899999999999999" customHeight="1" x14ac:dyDescent="0.25">
      <c r="B1589" s="24" t="s">
        <v>1043</v>
      </c>
      <c r="C1589" s="19" t="s">
        <v>220</v>
      </c>
      <c r="D1589" s="52" t="s">
        <v>1213</v>
      </c>
      <c r="E1589" s="53"/>
      <c r="F1589" s="53"/>
      <c r="G1589" s="53"/>
      <c r="H1589" s="53"/>
      <c r="I1589" s="54"/>
    </row>
    <row r="1590" spans="2:9" x14ac:dyDescent="0.25">
      <c r="B1590" s="23"/>
      <c r="C1590" s="2" t="s">
        <v>222</v>
      </c>
      <c r="I1590" s="26"/>
    </row>
    <row r="1591" spans="2:9" x14ac:dyDescent="0.25">
      <c r="B1591" s="23"/>
      <c r="I1591" s="26"/>
    </row>
    <row r="1592" spans="2:9" x14ac:dyDescent="0.25">
      <c r="B1592" s="23"/>
      <c r="C1592" s="51" t="s">
        <v>55</v>
      </c>
      <c r="D1592" s="46"/>
      <c r="E1592" s="46"/>
      <c r="F1592" s="46"/>
      <c r="G1592" s="46"/>
      <c r="H1592" s="46"/>
      <c r="I1592" s="47"/>
    </row>
    <row r="1593" spans="2:9" x14ac:dyDescent="0.25">
      <c r="B1593" s="23"/>
      <c r="I1593" s="26"/>
    </row>
    <row r="1594" spans="2:9" ht="77.849999999999994" customHeight="1" x14ac:dyDescent="0.25">
      <c r="B1594" s="24" t="s">
        <v>1214</v>
      </c>
      <c r="C1594" s="19" t="s">
        <v>220</v>
      </c>
      <c r="D1594" s="52" t="s">
        <v>1215</v>
      </c>
      <c r="E1594" s="53"/>
      <c r="F1594" s="53"/>
      <c r="G1594" s="53"/>
      <c r="H1594" s="53"/>
      <c r="I1594" s="54"/>
    </row>
    <row r="1595" spans="2:9" x14ac:dyDescent="0.25">
      <c r="B1595" s="23"/>
      <c r="C1595" s="2" t="s">
        <v>222</v>
      </c>
      <c r="I1595" s="26"/>
    </row>
    <row r="1596" spans="2:9" x14ac:dyDescent="0.25">
      <c r="B1596" s="23"/>
      <c r="I1596" s="26"/>
    </row>
    <row r="1597" spans="2:9" x14ac:dyDescent="0.25">
      <c r="B1597" s="23"/>
      <c r="C1597" s="55" t="s">
        <v>60</v>
      </c>
      <c r="D1597" s="46"/>
      <c r="E1597" s="46"/>
      <c r="F1597" s="46"/>
      <c r="G1597" s="46"/>
      <c r="H1597" s="46"/>
      <c r="I1597" s="47"/>
    </row>
    <row r="1598" spans="2:9" x14ac:dyDescent="0.25">
      <c r="B1598" s="23"/>
      <c r="I1598" s="26"/>
    </row>
    <row r="1599" spans="2:9" ht="92.25" customHeight="1" x14ac:dyDescent="0.25">
      <c r="B1599" s="24" t="s">
        <v>1216</v>
      </c>
      <c r="C1599" s="18" t="s">
        <v>49</v>
      </c>
      <c r="D1599" s="52" t="s">
        <v>1217</v>
      </c>
      <c r="E1599" s="53"/>
      <c r="F1599" s="53"/>
      <c r="G1599" s="53"/>
      <c r="H1599" s="53"/>
      <c r="I1599" s="54"/>
    </row>
    <row r="1600" spans="2:9" ht="34.35" customHeight="1" x14ac:dyDescent="0.25">
      <c r="B1600" s="23"/>
      <c r="C1600" s="2" t="s">
        <v>489</v>
      </c>
      <c r="D1600" s="45" t="s">
        <v>1135</v>
      </c>
      <c r="E1600" s="46"/>
      <c r="F1600" s="46"/>
      <c r="G1600" s="46"/>
      <c r="H1600" s="46"/>
      <c r="I1600" s="47"/>
    </row>
    <row r="1601" spans="2:10" ht="48.95" customHeight="1" x14ac:dyDescent="0.25">
      <c r="B1601" s="23"/>
      <c r="C1601" s="2" t="s">
        <v>491</v>
      </c>
      <c r="D1601" s="45" t="s">
        <v>1136</v>
      </c>
      <c r="E1601" s="46"/>
      <c r="F1601" s="46"/>
      <c r="G1601" s="46"/>
      <c r="H1601" s="46"/>
      <c r="I1601" s="47"/>
    </row>
    <row r="1602" spans="2:10" ht="19.899999999999999" customHeight="1" x14ac:dyDescent="0.25">
      <c r="B1602" s="23"/>
      <c r="C1602" s="2" t="s">
        <v>1062</v>
      </c>
      <c r="D1602" s="45" t="s">
        <v>1063</v>
      </c>
      <c r="E1602" s="46"/>
      <c r="F1602" s="46"/>
      <c r="G1602" s="46"/>
      <c r="H1602" s="46"/>
      <c r="I1602" s="47"/>
    </row>
    <row r="1603" spans="2:10" ht="19.899999999999999" customHeight="1" x14ac:dyDescent="0.25">
      <c r="B1603" s="23"/>
      <c r="C1603" s="2" t="s">
        <v>1218</v>
      </c>
      <c r="D1603" s="45" t="s">
        <v>1219</v>
      </c>
      <c r="E1603" s="46"/>
      <c r="F1603" s="46"/>
      <c r="G1603" s="46"/>
      <c r="H1603" s="46"/>
      <c r="I1603" s="47"/>
    </row>
    <row r="1604" spans="2:10" x14ac:dyDescent="0.25">
      <c r="B1604" s="23"/>
      <c r="I1604" s="26"/>
    </row>
    <row r="1605" spans="2:10" x14ac:dyDescent="0.25">
      <c r="B1605" s="23"/>
      <c r="C1605" s="55" t="s">
        <v>60</v>
      </c>
      <c r="D1605" s="46"/>
      <c r="E1605" s="46"/>
      <c r="F1605" s="46"/>
      <c r="G1605" s="46"/>
      <c r="H1605" s="46"/>
      <c r="I1605" s="47"/>
    </row>
    <row r="1606" spans="2:10" x14ac:dyDescent="0.25">
      <c r="B1606" s="23"/>
      <c r="I1606" s="26"/>
    </row>
    <row r="1607" spans="2:10" ht="19.899999999999999" customHeight="1" x14ac:dyDescent="0.25">
      <c r="B1607" s="24" t="s">
        <v>1045</v>
      </c>
      <c r="C1607" s="18" t="s">
        <v>49</v>
      </c>
      <c r="D1607" s="52" t="s">
        <v>1220</v>
      </c>
      <c r="E1607" s="53"/>
      <c r="F1607" s="53"/>
      <c r="G1607" s="53"/>
      <c r="H1607" s="53"/>
      <c r="I1607" s="54"/>
      <c r="J1607" s="17" t="str">
        <f>HYPERLINK("#'Ändringshistorik'!C358", "Ändringshistorik: [3]")</f>
        <v>Ändringshistorik: [3]</v>
      </c>
    </row>
    <row r="1608" spans="2:10" ht="19.899999999999999" customHeight="1" x14ac:dyDescent="0.25">
      <c r="B1608" s="23"/>
      <c r="C1608" s="2" t="s">
        <v>1048</v>
      </c>
      <c r="D1608" s="45" t="s">
        <v>1138</v>
      </c>
      <c r="E1608" s="46"/>
      <c r="F1608" s="46"/>
      <c r="G1608" s="46"/>
      <c r="H1608" s="46"/>
      <c r="I1608" s="47"/>
    </row>
    <row r="1609" spans="2:10" ht="34.35" customHeight="1" x14ac:dyDescent="0.25">
      <c r="B1609" s="23"/>
      <c r="C1609" s="2" t="s">
        <v>1050</v>
      </c>
      <c r="D1609" s="45" t="s">
        <v>1139</v>
      </c>
      <c r="E1609" s="46"/>
      <c r="F1609" s="46"/>
      <c r="G1609" s="46"/>
      <c r="H1609" s="46"/>
      <c r="I1609" s="47"/>
    </row>
    <row r="1610" spans="2:10" ht="34.35" customHeight="1" x14ac:dyDescent="0.25">
      <c r="B1610" s="23"/>
      <c r="C1610" s="2" t="s">
        <v>1140</v>
      </c>
      <c r="D1610" s="45" t="s">
        <v>1221</v>
      </c>
      <c r="E1610" s="46"/>
      <c r="F1610" s="46"/>
      <c r="G1610" s="46"/>
      <c r="H1610" s="46"/>
      <c r="I1610" s="47"/>
    </row>
    <row r="1611" spans="2:10" x14ac:dyDescent="0.25">
      <c r="B1611" s="23"/>
      <c r="I1611" s="26"/>
    </row>
    <row r="1612" spans="2:10" x14ac:dyDescent="0.25">
      <c r="B1612" s="23"/>
      <c r="C1612" s="51" t="s">
        <v>55</v>
      </c>
      <c r="D1612" s="46"/>
      <c r="E1612" s="46"/>
      <c r="F1612" s="46"/>
      <c r="G1612" s="46"/>
      <c r="H1612" s="46"/>
      <c r="I1612" s="47"/>
    </row>
    <row r="1613" spans="2:10" x14ac:dyDescent="0.25">
      <c r="B1613" s="23"/>
      <c r="I1613" s="26"/>
    </row>
    <row r="1614" spans="2:10" ht="63.4" customHeight="1" x14ac:dyDescent="0.25">
      <c r="B1614" s="24" t="s">
        <v>1222</v>
      </c>
      <c r="C1614" s="18" t="s">
        <v>49</v>
      </c>
      <c r="D1614" s="52" t="s">
        <v>1223</v>
      </c>
      <c r="E1614" s="53"/>
      <c r="F1614" s="53"/>
      <c r="G1614" s="53"/>
      <c r="H1614" s="53"/>
      <c r="I1614" s="54"/>
      <c r="J1614" s="17" t="str">
        <f>HYPERLINK("#'Ändringshistorik'!C359", "Ändringshistorik: [4]")</f>
        <v>Ändringshistorik: [4]</v>
      </c>
    </row>
    <row r="1615" spans="2:10" ht="19.899999999999999" customHeight="1" x14ac:dyDescent="0.25">
      <c r="B1615" s="23"/>
      <c r="C1615" s="2" t="s">
        <v>1224</v>
      </c>
      <c r="D1615" s="45" t="s">
        <v>1225</v>
      </c>
      <c r="E1615" s="46"/>
      <c r="F1615" s="46"/>
      <c r="G1615" s="46"/>
      <c r="H1615" s="46"/>
      <c r="I1615" s="47"/>
    </row>
    <row r="1616" spans="2:10" ht="34.35" customHeight="1" x14ac:dyDescent="0.25">
      <c r="B1616" s="23"/>
      <c r="C1616" s="2" t="s">
        <v>1056</v>
      </c>
      <c r="D1616" s="45" t="s">
        <v>1143</v>
      </c>
      <c r="E1616" s="46"/>
      <c r="F1616" s="46"/>
      <c r="G1616" s="46"/>
      <c r="H1616" s="46"/>
      <c r="I1616" s="47"/>
    </row>
    <row r="1617" spans="2:9" ht="34.35" customHeight="1" x14ac:dyDescent="0.25">
      <c r="B1617" s="23"/>
      <c r="C1617" s="2" t="s">
        <v>1144</v>
      </c>
      <c r="D1617" s="45" t="s">
        <v>1226</v>
      </c>
      <c r="E1617" s="46"/>
      <c r="F1617" s="46"/>
      <c r="G1617" s="46"/>
      <c r="H1617" s="46"/>
      <c r="I1617" s="47"/>
    </row>
    <row r="1618" spans="2:9" ht="150.19999999999999" customHeight="1" x14ac:dyDescent="0.25">
      <c r="B1618" s="23"/>
      <c r="C1618" s="2" t="s">
        <v>1146</v>
      </c>
      <c r="D1618" s="45" t="s">
        <v>1227</v>
      </c>
      <c r="E1618" s="46"/>
      <c r="F1618" s="46"/>
      <c r="G1618" s="46"/>
      <c r="H1618" s="46"/>
      <c r="I1618" s="47"/>
    </row>
    <row r="1619" spans="2:9" ht="121.15" customHeight="1" x14ac:dyDescent="0.25">
      <c r="B1619" s="23"/>
      <c r="C1619" s="2" t="s">
        <v>1149</v>
      </c>
      <c r="D1619" s="45" t="s">
        <v>1228</v>
      </c>
      <c r="E1619" s="46"/>
      <c r="F1619" s="46"/>
      <c r="G1619" s="46"/>
      <c r="H1619" s="46"/>
      <c r="I1619" s="47"/>
    </row>
    <row r="1620" spans="2:9" ht="48.95" customHeight="1" x14ac:dyDescent="0.25">
      <c r="B1620" s="23"/>
      <c r="C1620" s="2" t="s">
        <v>1066</v>
      </c>
      <c r="D1620" s="45" t="s">
        <v>1229</v>
      </c>
      <c r="E1620" s="46"/>
      <c r="F1620" s="46"/>
      <c r="G1620" s="46"/>
      <c r="H1620" s="46"/>
      <c r="I1620" s="47"/>
    </row>
    <row r="1621" spans="2:9" ht="77.849999999999994" customHeight="1" x14ac:dyDescent="0.25">
      <c r="B1621" s="23"/>
      <c r="C1621" s="2" t="s">
        <v>1230</v>
      </c>
      <c r="D1621" s="45" t="s">
        <v>1231</v>
      </c>
      <c r="E1621" s="46"/>
      <c r="F1621" s="46"/>
      <c r="G1621" s="46"/>
      <c r="H1621" s="46"/>
      <c r="I1621" s="47"/>
    </row>
    <row r="1622" spans="2:9" ht="34.35" customHeight="1" x14ac:dyDescent="0.25">
      <c r="B1622" s="23"/>
      <c r="C1622" s="2" t="s">
        <v>1232</v>
      </c>
      <c r="D1622" s="45" t="s">
        <v>1233</v>
      </c>
      <c r="E1622" s="46"/>
      <c r="F1622" s="46"/>
      <c r="G1622" s="46"/>
      <c r="H1622" s="46"/>
      <c r="I1622" s="47"/>
    </row>
    <row r="1623" spans="2:9" ht="19.899999999999999" customHeight="1" x14ac:dyDescent="0.25">
      <c r="B1623" s="23"/>
      <c r="C1623" s="2" t="s">
        <v>1234</v>
      </c>
      <c r="D1623" s="45" t="s">
        <v>1235</v>
      </c>
      <c r="E1623" s="46"/>
      <c r="F1623" s="46"/>
      <c r="G1623" s="46"/>
      <c r="H1623" s="46"/>
      <c r="I1623" s="47"/>
    </row>
    <row r="1624" spans="2:9" ht="34.35" customHeight="1" x14ac:dyDescent="0.25">
      <c r="B1624" s="23"/>
      <c r="C1624" s="2" t="s">
        <v>1236</v>
      </c>
      <c r="D1624" s="45" t="s">
        <v>1237</v>
      </c>
      <c r="E1624" s="46"/>
      <c r="F1624" s="46"/>
      <c r="G1624" s="46"/>
      <c r="H1624" s="46"/>
      <c r="I1624" s="47"/>
    </row>
    <row r="1625" spans="2:9" ht="48.95" customHeight="1" x14ac:dyDescent="0.25">
      <c r="B1625" s="23"/>
      <c r="C1625" s="2" t="s">
        <v>1238</v>
      </c>
      <c r="D1625" s="45" t="s">
        <v>1239</v>
      </c>
      <c r="E1625" s="46"/>
      <c r="F1625" s="46"/>
      <c r="G1625" s="46"/>
      <c r="H1625" s="46"/>
      <c r="I1625" s="47"/>
    </row>
    <row r="1626" spans="2:9" ht="48.95" customHeight="1" x14ac:dyDescent="0.25">
      <c r="B1626" s="23"/>
      <c r="C1626" s="2" t="s">
        <v>1240</v>
      </c>
      <c r="D1626" s="45" t="s">
        <v>1241</v>
      </c>
      <c r="E1626" s="46"/>
      <c r="F1626" s="46"/>
      <c r="G1626" s="46"/>
      <c r="H1626" s="46"/>
      <c r="I1626" s="47"/>
    </row>
    <row r="1627" spans="2:9" x14ac:dyDescent="0.25">
      <c r="B1627" s="23"/>
      <c r="I1627" s="26"/>
    </row>
    <row r="1628" spans="2:9" x14ac:dyDescent="0.25">
      <c r="B1628" s="23"/>
      <c r="C1628" s="55" t="s">
        <v>60</v>
      </c>
      <c r="D1628" s="46"/>
      <c r="E1628" s="46"/>
      <c r="F1628" s="46"/>
      <c r="G1628" s="46"/>
      <c r="H1628" s="46"/>
      <c r="I1628" s="47"/>
    </row>
    <row r="1629" spans="2:9" x14ac:dyDescent="0.25">
      <c r="B1629" s="23"/>
      <c r="I1629" s="26"/>
    </row>
    <row r="1630" spans="2:9" ht="121.15" customHeight="1" x14ac:dyDescent="0.25">
      <c r="B1630" s="24" t="s">
        <v>1152</v>
      </c>
      <c r="C1630" s="18" t="s">
        <v>49</v>
      </c>
      <c r="D1630" s="52" t="s">
        <v>1242</v>
      </c>
      <c r="E1630" s="53"/>
      <c r="F1630" s="53"/>
      <c r="G1630" s="53"/>
      <c r="H1630" s="53"/>
      <c r="I1630" s="54"/>
    </row>
    <row r="1631" spans="2:9" ht="19.899999999999999" customHeight="1" x14ac:dyDescent="0.25">
      <c r="B1631" s="23"/>
      <c r="C1631" s="2" t="s">
        <v>1154</v>
      </c>
      <c r="D1631" s="45" t="s">
        <v>1155</v>
      </c>
      <c r="E1631" s="46"/>
      <c r="F1631" s="46"/>
      <c r="G1631" s="46"/>
      <c r="H1631" s="46"/>
      <c r="I1631" s="47"/>
    </row>
    <row r="1632" spans="2:9" ht="19.899999999999999" customHeight="1" x14ac:dyDescent="0.25">
      <c r="B1632" s="23"/>
      <c r="C1632" s="2" t="s">
        <v>1156</v>
      </c>
      <c r="D1632" s="45" t="s">
        <v>1157</v>
      </c>
      <c r="E1632" s="46"/>
      <c r="F1632" s="46"/>
      <c r="G1632" s="46"/>
      <c r="H1632" s="46"/>
      <c r="I1632" s="47"/>
    </row>
    <row r="1633" spans="2:9" ht="19.899999999999999" customHeight="1" x14ac:dyDescent="0.25">
      <c r="B1633" s="23"/>
      <c r="C1633" s="2" t="s">
        <v>1158</v>
      </c>
      <c r="D1633" s="45" t="s">
        <v>1159</v>
      </c>
      <c r="E1633" s="46"/>
      <c r="F1633" s="46"/>
      <c r="G1633" s="46"/>
      <c r="H1633" s="46"/>
      <c r="I1633" s="47"/>
    </row>
    <row r="1634" spans="2:9" ht="19.899999999999999" customHeight="1" x14ac:dyDescent="0.25">
      <c r="B1634" s="23"/>
      <c r="C1634" s="2" t="s">
        <v>1160</v>
      </c>
      <c r="D1634" s="45" t="s">
        <v>1161</v>
      </c>
      <c r="E1634" s="46"/>
      <c r="F1634" s="46"/>
      <c r="G1634" s="46"/>
      <c r="H1634" s="46"/>
      <c r="I1634" s="47"/>
    </row>
    <row r="1635" spans="2:9" ht="19.899999999999999" customHeight="1" x14ac:dyDescent="0.25">
      <c r="B1635" s="23"/>
      <c r="C1635" s="2" t="s">
        <v>1162</v>
      </c>
      <c r="D1635" s="45" t="s">
        <v>1163</v>
      </c>
      <c r="E1635" s="46"/>
      <c r="F1635" s="46"/>
      <c r="G1635" s="46"/>
      <c r="H1635" s="46"/>
      <c r="I1635" s="47"/>
    </row>
    <row r="1636" spans="2:9" ht="19.899999999999999" customHeight="1" x14ac:dyDescent="0.25">
      <c r="B1636" s="23"/>
      <c r="C1636" s="2" t="s">
        <v>1164</v>
      </c>
      <c r="D1636" s="45" t="s">
        <v>1165</v>
      </c>
      <c r="E1636" s="46"/>
      <c r="F1636" s="46"/>
      <c r="G1636" s="46"/>
      <c r="H1636" s="46"/>
      <c r="I1636" s="47"/>
    </row>
    <row r="1637" spans="2:9" x14ac:dyDescent="0.25">
      <c r="B1637" s="23"/>
      <c r="I1637" s="26"/>
    </row>
    <row r="1638" spans="2:9" x14ac:dyDescent="0.25">
      <c r="B1638" s="23"/>
      <c r="C1638" s="55" t="s">
        <v>60</v>
      </c>
      <c r="D1638" s="46"/>
      <c r="E1638" s="46"/>
      <c r="F1638" s="46"/>
      <c r="G1638" s="46"/>
      <c r="H1638" s="46"/>
      <c r="I1638" s="47"/>
    </row>
    <row r="1639" spans="2:9" x14ac:dyDescent="0.25">
      <c r="B1639" s="23"/>
      <c r="I1639" s="26"/>
    </row>
    <row r="1640" spans="2:9" ht="77.849999999999994" customHeight="1" x14ac:dyDescent="0.25">
      <c r="B1640" s="24" t="s">
        <v>1243</v>
      </c>
      <c r="C1640" s="19" t="s">
        <v>220</v>
      </c>
      <c r="D1640" s="52" t="s">
        <v>1244</v>
      </c>
      <c r="E1640" s="53"/>
      <c r="F1640" s="53"/>
      <c r="G1640" s="53"/>
      <c r="H1640" s="53"/>
      <c r="I1640" s="54"/>
    </row>
    <row r="1641" spans="2:9" x14ac:dyDescent="0.25">
      <c r="B1641" s="23"/>
      <c r="C1641" s="2" t="s">
        <v>222</v>
      </c>
      <c r="I1641" s="26"/>
    </row>
    <row r="1642" spans="2:9" x14ac:dyDescent="0.25">
      <c r="B1642" s="23"/>
      <c r="I1642" s="26"/>
    </row>
    <row r="1643" spans="2:9" x14ac:dyDescent="0.25">
      <c r="B1643" s="23"/>
      <c r="C1643" s="55" t="s">
        <v>60</v>
      </c>
      <c r="D1643" s="46"/>
      <c r="E1643" s="46"/>
      <c r="F1643" s="46"/>
      <c r="G1643" s="46"/>
      <c r="H1643" s="46"/>
      <c r="I1643" s="47"/>
    </row>
    <row r="1644" spans="2:9" x14ac:dyDescent="0.25">
      <c r="B1644" s="23"/>
      <c r="I1644" s="26"/>
    </row>
    <row r="1645" spans="2:9" ht="92.25" customHeight="1" x14ac:dyDescent="0.25">
      <c r="B1645" s="24" t="s">
        <v>1245</v>
      </c>
      <c r="C1645" s="18" t="s">
        <v>49</v>
      </c>
      <c r="D1645" s="52" t="s">
        <v>1246</v>
      </c>
      <c r="E1645" s="53"/>
      <c r="F1645" s="53"/>
      <c r="G1645" s="53"/>
      <c r="H1645" s="53"/>
      <c r="I1645" s="54"/>
    </row>
    <row r="1646" spans="2:9" ht="19.899999999999999" customHeight="1" x14ac:dyDescent="0.25">
      <c r="B1646" s="23"/>
      <c r="C1646" s="2" t="s">
        <v>1247</v>
      </c>
      <c r="D1646" s="45" t="s">
        <v>1248</v>
      </c>
      <c r="E1646" s="46"/>
      <c r="F1646" s="46"/>
      <c r="G1646" s="46"/>
      <c r="H1646" s="46"/>
      <c r="I1646" s="47"/>
    </row>
    <row r="1647" spans="2:9" ht="19.899999999999999" customHeight="1" x14ac:dyDescent="0.25">
      <c r="B1647" s="23"/>
      <c r="C1647" s="2" t="s">
        <v>1249</v>
      </c>
      <c r="D1647" s="45" t="s">
        <v>1250</v>
      </c>
      <c r="E1647" s="46"/>
      <c r="F1647" s="46"/>
      <c r="G1647" s="46"/>
      <c r="H1647" s="46"/>
      <c r="I1647" s="47"/>
    </row>
    <row r="1648" spans="2:9" ht="19.899999999999999" customHeight="1" x14ac:dyDescent="0.25">
      <c r="B1648" s="23"/>
      <c r="C1648" s="2" t="s">
        <v>166</v>
      </c>
      <c r="D1648" s="45" t="s">
        <v>1251</v>
      </c>
      <c r="E1648" s="46"/>
      <c r="F1648" s="46"/>
      <c r="G1648" s="46"/>
      <c r="H1648" s="46"/>
      <c r="I1648" s="47"/>
    </row>
    <row r="1649" spans="2:9" ht="19.899999999999999" customHeight="1" x14ac:dyDescent="0.25">
      <c r="B1649" s="23"/>
      <c r="C1649" s="2" t="s">
        <v>1252</v>
      </c>
      <c r="D1649" s="45" t="s">
        <v>1253</v>
      </c>
      <c r="E1649" s="46"/>
      <c r="F1649" s="46"/>
      <c r="G1649" s="46"/>
      <c r="H1649" s="46"/>
      <c r="I1649" s="47"/>
    </row>
    <row r="1650" spans="2:9" x14ac:dyDescent="0.25">
      <c r="B1650" s="23"/>
      <c r="I1650" s="26"/>
    </row>
    <row r="1651" spans="2:9" x14ac:dyDescent="0.25">
      <c r="B1651" s="23"/>
      <c r="C1651" s="55" t="s">
        <v>60</v>
      </c>
      <c r="D1651" s="46"/>
      <c r="E1651" s="46"/>
      <c r="F1651" s="46"/>
      <c r="G1651" s="46"/>
      <c r="H1651" s="46"/>
      <c r="I1651" s="47"/>
    </row>
    <row r="1652" spans="2:9" x14ac:dyDescent="0.25">
      <c r="B1652" s="23"/>
      <c r="I1652" s="26"/>
    </row>
    <row r="1653" spans="2:9" ht="48.95" customHeight="1" x14ac:dyDescent="0.25">
      <c r="B1653" s="24" t="s">
        <v>1254</v>
      </c>
      <c r="C1653" s="18" t="s">
        <v>485</v>
      </c>
      <c r="D1653" s="52" t="s">
        <v>1255</v>
      </c>
      <c r="E1653" s="53"/>
      <c r="F1653" s="53"/>
      <c r="G1653" s="53"/>
      <c r="H1653" s="53"/>
      <c r="I1653" s="54"/>
    </row>
    <row r="1654" spans="2:9" ht="19.899999999999999" customHeight="1" x14ac:dyDescent="0.25">
      <c r="B1654" s="23"/>
      <c r="C1654" s="2" t="s">
        <v>1256</v>
      </c>
      <c r="D1654" s="45" t="s">
        <v>1257</v>
      </c>
      <c r="E1654" s="46"/>
      <c r="F1654" s="46"/>
      <c r="G1654" s="46"/>
      <c r="H1654" s="46"/>
      <c r="I1654" s="47"/>
    </row>
    <row r="1655" spans="2:9" ht="19.899999999999999" customHeight="1" x14ac:dyDescent="0.25">
      <c r="B1655" s="23"/>
      <c r="C1655" s="2" t="s">
        <v>1258</v>
      </c>
      <c r="D1655" s="45" t="s">
        <v>1259</v>
      </c>
      <c r="E1655" s="46"/>
      <c r="F1655" s="46"/>
      <c r="G1655" s="46"/>
      <c r="H1655" s="46"/>
      <c r="I1655" s="47"/>
    </row>
    <row r="1656" spans="2:9" ht="19.899999999999999" customHeight="1" x14ac:dyDescent="0.25">
      <c r="B1656" s="23"/>
      <c r="C1656" s="2" t="s">
        <v>476</v>
      </c>
      <c r="D1656" s="45" t="s">
        <v>1260</v>
      </c>
      <c r="E1656" s="46"/>
      <c r="F1656" s="46"/>
      <c r="G1656" s="46"/>
      <c r="H1656" s="46"/>
      <c r="I1656" s="47"/>
    </row>
    <row r="1657" spans="2:9" x14ac:dyDescent="0.25">
      <c r="B1657" s="23"/>
      <c r="I1657" s="26"/>
    </row>
    <row r="1658" spans="2:9" x14ac:dyDescent="0.25">
      <c r="B1658" s="23"/>
      <c r="C1658" s="55" t="s">
        <v>60</v>
      </c>
      <c r="D1658" s="46"/>
      <c r="E1658" s="46"/>
      <c r="F1658" s="46"/>
      <c r="G1658" s="46"/>
      <c r="H1658" s="46"/>
      <c r="I1658" s="47"/>
    </row>
    <row r="1659" spans="2:9" x14ac:dyDescent="0.25">
      <c r="B1659" s="23"/>
      <c r="I1659" s="26"/>
    </row>
    <row r="1660" spans="2:9" ht="48.95" customHeight="1" x14ac:dyDescent="0.25">
      <c r="B1660" s="24" t="s">
        <v>1261</v>
      </c>
      <c r="C1660" s="19" t="s">
        <v>220</v>
      </c>
      <c r="D1660" s="52" t="s">
        <v>1262</v>
      </c>
      <c r="E1660" s="53"/>
      <c r="F1660" s="53"/>
      <c r="G1660" s="53"/>
      <c r="H1660" s="53"/>
      <c r="I1660" s="54"/>
    </row>
    <row r="1661" spans="2:9" x14ac:dyDescent="0.25">
      <c r="B1661" s="23"/>
      <c r="C1661" s="2" t="s">
        <v>222</v>
      </c>
      <c r="I1661" s="26"/>
    </row>
    <row r="1662" spans="2:9" x14ac:dyDescent="0.25">
      <c r="B1662" s="23"/>
      <c r="I1662" s="26"/>
    </row>
    <row r="1663" spans="2:9" x14ac:dyDescent="0.25">
      <c r="B1663" s="23"/>
      <c r="C1663" s="55" t="s">
        <v>60</v>
      </c>
      <c r="D1663" s="46"/>
      <c r="E1663" s="46"/>
      <c r="F1663" s="46"/>
      <c r="G1663" s="46"/>
      <c r="H1663" s="46"/>
      <c r="I1663" s="47"/>
    </row>
    <row r="1664" spans="2:9" x14ac:dyDescent="0.25">
      <c r="B1664" s="23"/>
      <c r="I1664" s="26"/>
    </row>
    <row r="1665" spans="2:10" ht="19.899999999999999" customHeight="1" x14ac:dyDescent="0.25">
      <c r="B1665" s="24" t="s">
        <v>1263</v>
      </c>
      <c r="C1665" s="19" t="s">
        <v>220</v>
      </c>
      <c r="D1665" s="52" t="s">
        <v>1264</v>
      </c>
      <c r="E1665" s="53"/>
      <c r="F1665" s="53"/>
      <c r="G1665" s="53"/>
      <c r="H1665" s="53"/>
      <c r="I1665" s="54"/>
    </row>
    <row r="1666" spans="2:10" x14ac:dyDescent="0.25">
      <c r="B1666" s="23"/>
      <c r="C1666" s="2" t="s">
        <v>222</v>
      </c>
      <c r="I1666" s="26"/>
    </row>
    <row r="1667" spans="2:10" x14ac:dyDescent="0.25">
      <c r="B1667" s="23"/>
      <c r="I1667" s="26"/>
    </row>
    <row r="1668" spans="2:10" x14ac:dyDescent="0.25">
      <c r="B1668" s="23"/>
      <c r="C1668" s="55" t="s">
        <v>60</v>
      </c>
      <c r="D1668" s="46"/>
      <c r="E1668" s="46"/>
      <c r="F1668" s="46"/>
      <c r="G1668" s="46"/>
      <c r="H1668" s="46"/>
      <c r="I1668" s="47"/>
    </row>
    <row r="1669" spans="2:10" x14ac:dyDescent="0.25">
      <c r="B1669" s="23"/>
      <c r="I1669" s="26"/>
    </row>
    <row r="1670" spans="2:10" ht="19.899999999999999" customHeight="1" x14ac:dyDescent="0.25">
      <c r="B1670" s="24" t="s">
        <v>1265</v>
      </c>
      <c r="C1670" s="19" t="s">
        <v>220</v>
      </c>
      <c r="D1670" s="52" t="s">
        <v>1266</v>
      </c>
      <c r="E1670" s="53"/>
      <c r="F1670" s="53"/>
      <c r="G1670" s="53"/>
      <c r="H1670" s="53"/>
      <c r="I1670" s="54"/>
      <c r="J1670" s="17" t="str">
        <f>HYPERLINK("#'Ändringshistorik'!C364", "Ändringshistorik: [9]")</f>
        <v>Ändringshistorik: [9]</v>
      </c>
    </row>
    <row r="1671" spans="2:10" x14ac:dyDescent="0.25">
      <c r="B1671" s="23"/>
      <c r="C1671" s="2" t="s">
        <v>222</v>
      </c>
      <c r="I1671" s="26"/>
    </row>
    <row r="1672" spans="2:10" x14ac:dyDescent="0.25">
      <c r="B1672" s="23"/>
      <c r="I1672" s="26"/>
    </row>
    <row r="1673" spans="2:10" x14ac:dyDescent="0.25">
      <c r="B1673" s="23"/>
      <c r="C1673" s="55" t="s">
        <v>60</v>
      </c>
      <c r="D1673" s="46"/>
      <c r="E1673" s="46"/>
      <c r="F1673" s="46"/>
      <c r="G1673" s="46"/>
      <c r="H1673" s="46"/>
      <c r="I1673" s="47"/>
    </row>
    <row r="1674" spans="2:10" x14ac:dyDescent="0.25">
      <c r="B1674" s="23"/>
      <c r="I1674" s="26"/>
    </row>
    <row r="1675" spans="2:10" ht="19.899999999999999" customHeight="1" x14ac:dyDescent="0.25">
      <c r="B1675" s="24" t="s">
        <v>1267</v>
      </c>
      <c r="C1675" s="18" t="s">
        <v>49</v>
      </c>
      <c r="D1675" s="52" t="s">
        <v>1268</v>
      </c>
      <c r="E1675" s="53"/>
      <c r="F1675" s="53"/>
      <c r="G1675" s="53"/>
      <c r="H1675" s="53"/>
      <c r="I1675" s="54"/>
      <c r="J1675" s="17" t="str">
        <f>HYPERLINK("#'Ändringshistorik'!C360", "Ändringshistorik: [5]")</f>
        <v>Ändringshistorik: [5]</v>
      </c>
    </row>
    <row r="1676" spans="2:10" ht="34.35" customHeight="1" x14ac:dyDescent="0.25">
      <c r="B1676" s="23"/>
      <c r="C1676" s="2" t="s">
        <v>1269</v>
      </c>
      <c r="D1676" s="45" t="s">
        <v>1270</v>
      </c>
      <c r="E1676" s="46"/>
      <c r="F1676" s="46"/>
      <c r="G1676" s="46"/>
      <c r="H1676" s="46"/>
      <c r="I1676" s="47"/>
    </row>
    <row r="1677" spans="2:10" ht="19.899999999999999" customHeight="1" x14ac:dyDescent="0.25">
      <c r="B1677" s="23"/>
      <c r="C1677" s="2" t="s">
        <v>1271</v>
      </c>
      <c r="D1677" s="45" t="s">
        <v>1272</v>
      </c>
      <c r="E1677" s="46"/>
      <c r="F1677" s="46"/>
      <c r="G1677" s="46"/>
      <c r="H1677" s="46"/>
      <c r="I1677" s="47"/>
    </row>
    <row r="1678" spans="2:10" ht="34.35" customHeight="1" x14ac:dyDescent="0.25">
      <c r="B1678" s="23"/>
      <c r="C1678" s="2" t="s">
        <v>1273</v>
      </c>
      <c r="D1678" s="45" t="s">
        <v>1274</v>
      </c>
      <c r="E1678" s="46"/>
      <c r="F1678" s="46"/>
      <c r="G1678" s="46"/>
      <c r="H1678" s="46"/>
      <c r="I1678" s="47"/>
    </row>
    <row r="1679" spans="2:10" ht="19.899999999999999" customHeight="1" x14ac:dyDescent="0.25">
      <c r="B1679" s="23"/>
      <c r="C1679" s="2" t="s">
        <v>1275</v>
      </c>
      <c r="D1679" s="45" t="s">
        <v>1276</v>
      </c>
      <c r="E1679" s="46"/>
      <c r="F1679" s="46"/>
      <c r="G1679" s="46"/>
      <c r="H1679" s="46"/>
      <c r="I1679" s="47"/>
    </row>
    <row r="1680" spans="2:10" ht="19.899999999999999" customHeight="1" x14ac:dyDescent="0.25">
      <c r="B1680" s="23"/>
      <c r="C1680" s="2" t="s">
        <v>1277</v>
      </c>
      <c r="D1680" s="45" t="s">
        <v>1278</v>
      </c>
      <c r="E1680" s="46"/>
      <c r="F1680" s="46"/>
      <c r="G1680" s="46"/>
      <c r="H1680" s="46"/>
      <c r="I1680" s="47"/>
    </row>
    <row r="1681" spans="2:9" ht="63.4" customHeight="1" x14ac:dyDescent="0.25">
      <c r="B1681" s="23"/>
      <c r="C1681" s="2" t="s">
        <v>1279</v>
      </c>
      <c r="D1681" s="45" t="s">
        <v>1280</v>
      </c>
      <c r="E1681" s="46"/>
      <c r="F1681" s="46"/>
      <c r="G1681" s="46"/>
      <c r="H1681" s="46"/>
      <c r="I1681" s="47"/>
    </row>
    <row r="1682" spans="2:9" x14ac:dyDescent="0.25">
      <c r="B1682" s="23"/>
      <c r="I1682" s="26"/>
    </row>
    <row r="1683" spans="2:9" x14ac:dyDescent="0.25">
      <c r="B1683" s="23"/>
      <c r="C1683" s="55" t="s">
        <v>60</v>
      </c>
      <c r="D1683" s="46"/>
      <c r="E1683" s="46"/>
      <c r="F1683" s="46"/>
      <c r="G1683" s="46"/>
      <c r="H1683" s="46"/>
      <c r="I1683" s="47"/>
    </row>
    <row r="1684" spans="2:9" x14ac:dyDescent="0.25">
      <c r="B1684" s="23"/>
      <c r="I1684" s="26"/>
    </row>
    <row r="1685" spans="2:9" ht="19.899999999999999" customHeight="1" x14ac:dyDescent="0.25">
      <c r="B1685" s="24" t="s">
        <v>1281</v>
      </c>
      <c r="C1685" s="18" t="s">
        <v>49</v>
      </c>
      <c r="D1685" s="52" t="s">
        <v>1282</v>
      </c>
      <c r="E1685" s="53"/>
      <c r="F1685" s="53"/>
      <c r="G1685" s="53"/>
      <c r="H1685" s="53"/>
      <c r="I1685" s="54"/>
    </row>
    <row r="1686" spans="2:9" ht="19.899999999999999" customHeight="1" x14ac:dyDescent="0.25">
      <c r="B1686" s="23"/>
      <c r="C1686" s="2" t="s">
        <v>289</v>
      </c>
      <c r="D1686" s="45" t="s">
        <v>1283</v>
      </c>
      <c r="E1686" s="46"/>
      <c r="F1686" s="46"/>
      <c r="G1686" s="46"/>
      <c r="H1686" s="46"/>
      <c r="I1686" s="47"/>
    </row>
    <row r="1687" spans="2:9" ht="63.4" customHeight="1" x14ac:dyDescent="0.25">
      <c r="B1687" s="23"/>
      <c r="C1687" s="2" t="s">
        <v>1284</v>
      </c>
      <c r="D1687" s="45" t="s">
        <v>1285</v>
      </c>
      <c r="E1687" s="46"/>
      <c r="F1687" s="46"/>
      <c r="G1687" s="46"/>
      <c r="H1687" s="46"/>
      <c r="I1687" s="47"/>
    </row>
    <row r="1688" spans="2:9" ht="63.4" customHeight="1" x14ac:dyDescent="0.25">
      <c r="B1688" s="23"/>
      <c r="C1688" s="2" t="s">
        <v>1286</v>
      </c>
      <c r="D1688" s="45" t="s">
        <v>1287</v>
      </c>
      <c r="E1688" s="46"/>
      <c r="F1688" s="46"/>
      <c r="G1688" s="46"/>
      <c r="H1688" s="46"/>
      <c r="I1688" s="47"/>
    </row>
    <row r="1689" spans="2:9" x14ac:dyDescent="0.25">
      <c r="B1689" s="23"/>
      <c r="I1689" s="26"/>
    </row>
    <row r="1690" spans="2:9" x14ac:dyDescent="0.25">
      <c r="B1690" s="23"/>
      <c r="C1690" s="55" t="s">
        <v>60</v>
      </c>
      <c r="D1690" s="46"/>
      <c r="E1690" s="46"/>
      <c r="F1690" s="46"/>
      <c r="G1690" s="46"/>
      <c r="H1690" s="46"/>
      <c r="I1690" s="47"/>
    </row>
    <row r="1691" spans="2:9" x14ac:dyDescent="0.25">
      <c r="B1691" s="23"/>
      <c r="I1691" s="26"/>
    </row>
    <row r="1692" spans="2:9" ht="63.4" customHeight="1" x14ac:dyDescent="0.25">
      <c r="B1692" s="24" t="s">
        <v>1288</v>
      </c>
      <c r="C1692" s="19" t="s">
        <v>220</v>
      </c>
      <c r="D1692" s="52" t="s">
        <v>1289</v>
      </c>
      <c r="E1692" s="53"/>
      <c r="F1692" s="53"/>
      <c r="G1692" s="53"/>
      <c r="H1692" s="53"/>
      <c r="I1692" s="54"/>
    </row>
    <row r="1693" spans="2:9" x14ac:dyDescent="0.25">
      <c r="B1693" s="23"/>
      <c r="C1693" s="2" t="s">
        <v>222</v>
      </c>
      <c r="I1693" s="26"/>
    </row>
    <row r="1694" spans="2:9" x14ac:dyDescent="0.25">
      <c r="B1694" s="23"/>
      <c r="I1694" s="26"/>
    </row>
    <row r="1695" spans="2:9" x14ac:dyDescent="0.25">
      <c r="B1695" s="23"/>
      <c r="C1695" s="55" t="s">
        <v>60</v>
      </c>
      <c r="D1695" s="46"/>
      <c r="E1695" s="46"/>
      <c r="F1695" s="46"/>
      <c r="G1695" s="46"/>
      <c r="H1695" s="46"/>
      <c r="I1695" s="47"/>
    </row>
    <row r="1696" spans="2:9" x14ac:dyDescent="0.25">
      <c r="B1696" s="23"/>
      <c r="I1696" s="26"/>
    </row>
    <row r="1697" spans="2:10" ht="19.899999999999999" customHeight="1" x14ac:dyDescent="0.25">
      <c r="B1697" s="24" t="s">
        <v>1290</v>
      </c>
      <c r="C1697" s="18" t="s">
        <v>49</v>
      </c>
      <c r="D1697" s="52" t="s">
        <v>1291</v>
      </c>
      <c r="E1697" s="53"/>
      <c r="F1697" s="53"/>
      <c r="G1697" s="53"/>
      <c r="H1697" s="53"/>
      <c r="I1697" s="54"/>
      <c r="J1697" s="17" t="str">
        <f>HYPERLINK("#'Ändringshistorik'!C361", "Ändringshistorik: [6] ,[7] ,[8]")</f>
        <v>Ändringshistorik: [6] ,[7] ,[8]</v>
      </c>
    </row>
    <row r="1698" spans="2:10" ht="77.849999999999994" customHeight="1" x14ac:dyDescent="0.25">
      <c r="B1698" s="23"/>
      <c r="C1698" s="2" t="s">
        <v>1230</v>
      </c>
      <c r="D1698" s="45" t="s">
        <v>1231</v>
      </c>
      <c r="E1698" s="46"/>
      <c r="F1698" s="46"/>
      <c r="G1698" s="46"/>
      <c r="H1698" s="46"/>
      <c r="I1698" s="47"/>
    </row>
    <row r="1699" spans="2:10" ht="19.899999999999999" customHeight="1" x14ac:dyDescent="0.25">
      <c r="B1699" s="23"/>
      <c r="C1699" s="2" t="s">
        <v>1292</v>
      </c>
      <c r="D1699" s="45" t="s">
        <v>1293</v>
      </c>
      <c r="E1699" s="46"/>
      <c r="F1699" s="46"/>
      <c r="G1699" s="46"/>
      <c r="H1699" s="46"/>
      <c r="I1699" s="47"/>
    </row>
    <row r="1700" spans="2:10" ht="63.4" customHeight="1" x14ac:dyDescent="0.25">
      <c r="B1700" s="23"/>
      <c r="C1700" s="2" t="s">
        <v>1294</v>
      </c>
      <c r="D1700" s="45" t="s">
        <v>1295</v>
      </c>
      <c r="E1700" s="46"/>
      <c r="F1700" s="46"/>
      <c r="G1700" s="46"/>
      <c r="H1700" s="46"/>
      <c r="I1700" s="47"/>
    </row>
    <row r="1701" spans="2:10" ht="19.899999999999999" customHeight="1" x14ac:dyDescent="0.25">
      <c r="B1701" s="23"/>
      <c r="C1701" s="2" t="s">
        <v>1224</v>
      </c>
      <c r="D1701" s="45" t="s">
        <v>1225</v>
      </c>
      <c r="E1701" s="46"/>
      <c r="F1701" s="46"/>
      <c r="G1701" s="46"/>
      <c r="H1701" s="46"/>
      <c r="I1701" s="47"/>
    </row>
    <row r="1702" spans="2:10" ht="121.15" customHeight="1" x14ac:dyDescent="0.25">
      <c r="B1702" s="23"/>
      <c r="C1702" s="2" t="s">
        <v>1149</v>
      </c>
      <c r="D1702" s="45" t="s">
        <v>1296</v>
      </c>
      <c r="E1702" s="46"/>
      <c r="F1702" s="46"/>
      <c r="G1702" s="46"/>
      <c r="H1702" s="46"/>
      <c r="I1702" s="47"/>
    </row>
    <row r="1703" spans="2:10" ht="164.65" customHeight="1" x14ac:dyDescent="0.25">
      <c r="B1703" s="23"/>
      <c r="C1703" s="2" t="s">
        <v>1297</v>
      </c>
      <c r="D1703" s="45" t="s">
        <v>1298</v>
      </c>
      <c r="E1703" s="46"/>
      <c r="F1703" s="46"/>
      <c r="G1703" s="46"/>
      <c r="H1703" s="46"/>
      <c r="I1703" s="47"/>
    </row>
    <row r="1704" spans="2:10" ht="77.849999999999994" customHeight="1" x14ac:dyDescent="0.25">
      <c r="B1704" s="23"/>
      <c r="C1704" s="2" t="s">
        <v>1299</v>
      </c>
      <c r="D1704" s="45" t="s">
        <v>1300</v>
      </c>
      <c r="E1704" s="46"/>
      <c r="F1704" s="46"/>
      <c r="G1704" s="46"/>
      <c r="H1704" s="46"/>
      <c r="I1704" s="47"/>
    </row>
    <row r="1705" spans="2:10" ht="77.849999999999994" customHeight="1" x14ac:dyDescent="0.25">
      <c r="B1705" s="23"/>
      <c r="C1705" s="2" t="s">
        <v>1301</v>
      </c>
      <c r="D1705" s="45" t="s">
        <v>1302</v>
      </c>
      <c r="E1705" s="46"/>
      <c r="F1705" s="46"/>
      <c r="G1705" s="46"/>
      <c r="H1705" s="46"/>
      <c r="I1705" s="47"/>
    </row>
    <row r="1706" spans="2:10" ht="34.35" customHeight="1" x14ac:dyDescent="0.25">
      <c r="B1706" s="23"/>
      <c r="C1706" s="2" t="s">
        <v>1240</v>
      </c>
      <c r="D1706" s="45" t="s">
        <v>1303</v>
      </c>
      <c r="E1706" s="46"/>
      <c r="F1706" s="46"/>
      <c r="G1706" s="46"/>
      <c r="H1706" s="46"/>
      <c r="I1706" s="47"/>
    </row>
    <row r="1707" spans="2:10" ht="34.35" customHeight="1" x14ac:dyDescent="0.25">
      <c r="B1707" s="23"/>
      <c r="C1707" s="2" t="s">
        <v>1304</v>
      </c>
      <c r="D1707" s="45" t="s">
        <v>1305</v>
      </c>
      <c r="E1707" s="46"/>
      <c r="F1707" s="46"/>
      <c r="G1707" s="46"/>
      <c r="H1707" s="46"/>
      <c r="I1707" s="47"/>
    </row>
    <row r="1708" spans="2:10" x14ac:dyDescent="0.25">
      <c r="B1708" s="23"/>
      <c r="I1708" s="26"/>
    </row>
    <row r="1709" spans="2:10" x14ac:dyDescent="0.25">
      <c r="B1709" s="23"/>
      <c r="C1709" s="55" t="s">
        <v>60</v>
      </c>
      <c r="D1709" s="46"/>
      <c r="E1709" s="46"/>
      <c r="F1709" s="46"/>
      <c r="G1709" s="46"/>
      <c r="H1709" s="46"/>
      <c r="I1709" s="47"/>
    </row>
    <row r="1710" spans="2:10" x14ac:dyDescent="0.25">
      <c r="B1710" s="23"/>
      <c r="I1710" s="26"/>
    </row>
    <row r="1711" spans="2:10" ht="34.35" customHeight="1" x14ac:dyDescent="0.25">
      <c r="B1711" s="24" t="s">
        <v>1085</v>
      </c>
      <c r="C1711" s="19" t="s">
        <v>220</v>
      </c>
      <c r="D1711" s="52" t="s">
        <v>1306</v>
      </c>
      <c r="E1711" s="53"/>
      <c r="F1711" s="53"/>
      <c r="G1711" s="53"/>
      <c r="H1711" s="53"/>
      <c r="I1711" s="54"/>
    </row>
    <row r="1712" spans="2:10" x14ac:dyDescent="0.25">
      <c r="B1712" s="23"/>
      <c r="C1712" s="2" t="s">
        <v>222</v>
      </c>
      <c r="I1712" s="26"/>
    </row>
    <row r="1713" spans="2:10" x14ac:dyDescent="0.25">
      <c r="B1713" s="23"/>
      <c r="I1713" s="26"/>
    </row>
    <row r="1714" spans="2:10" x14ac:dyDescent="0.25">
      <c r="B1714" s="23"/>
      <c r="C1714" s="51" t="s">
        <v>55</v>
      </c>
      <c r="D1714" s="46"/>
      <c r="E1714" s="46"/>
      <c r="F1714" s="46"/>
      <c r="G1714" s="46"/>
      <c r="H1714" s="46"/>
      <c r="I1714" s="47"/>
    </row>
    <row r="1715" spans="2:10" x14ac:dyDescent="0.25">
      <c r="B1715" s="25"/>
      <c r="C1715" s="21"/>
      <c r="D1715" s="21"/>
      <c r="E1715" s="21"/>
      <c r="F1715" s="21"/>
      <c r="G1715" s="21"/>
      <c r="H1715" s="21"/>
      <c r="I1715" s="27"/>
    </row>
    <row r="1717" spans="2:10" x14ac:dyDescent="0.25">
      <c r="B1717" s="3" t="s">
        <v>82</v>
      </c>
    </row>
    <row r="1718" spans="2:10" ht="19.899999999999999" customHeight="1" x14ac:dyDescent="0.25">
      <c r="B1718" s="29" t="s">
        <v>1307</v>
      </c>
      <c r="C1718" s="42" t="s">
        <v>1308</v>
      </c>
      <c r="D1718" s="43"/>
      <c r="E1718" s="43"/>
      <c r="F1718" s="43"/>
      <c r="G1718" s="43"/>
      <c r="H1718" s="43"/>
      <c r="I1718" s="44"/>
      <c r="J1718" s="17" t="str">
        <f>HYPERLINK("#'Ändringshistorik'!C337", "Ändringshistorik: [26]")</f>
        <v>Ändringshistorik: [26]</v>
      </c>
    </row>
    <row r="1719" spans="2:10" ht="19.899999999999999" customHeight="1" x14ac:dyDescent="0.25">
      <c r="B1719" s="30" t="s">
        <v>1309</v>
      </c>
      <c r="C1719" s="52" t="s">
        <v>1310</v>
      </c>
      <c r="D1719" s="53"/>
      <c r="E1719" s="46"/>
      <c r="F1719" s="46"/>
      <c r="G1719" s="46"/>
      <c r="H1719" s="46"/>
      <c r="I1719" s="47"/>
    </row>
    <row r="1720" spans="2:10" ht="19.899999999999999" customHeight="1" x14ac:dyDescent="0.25">
      <c r="B1720" s="30" t="s">
        <v>1311</v>
      </c>
      <c r="C1720" s="52" t="s">
        <v>1312</v>
      </c>
      <c r="D1720" s="53"/>
      <c r="E1720" s="46"/>
      <c r="F1720" s="46"/>
      <c r="G1720" s="46"/>
      <c r="H1720" s="46"/>
      <c r="I1720" s="47"/>
    </row>
    <row r="1721" spans="2:10" ht="19.899999999999999" customHeight="1" x14ac:dyDescent="0.25">
      <c r="B1721" s="30" t="s">
        <v>1313</v>
      </c>
      <c r="C1721" s="52" t="s">
        <v>1314</v>
      </c>
      <c r="D1721" s="53"/>
      <c r="E1721" s="46"/>
      <c r="F1721" s="46"/>
      <c r="G1721" s="46"/>
      <c r="H1721" s="46"/>
      <c r="I1721" s="47"/>
    </row>
    <row r="1722" spans="2:10" ht="34.35" customHeight="1" x14ac:dyDescent="0.25">
      <c r="B1722" s="30" t="s">
        <v>1315</v>
      </c>
      <c r="C1722" s="52" t="s">
        <v>1316</v>
      </c>
      <c r="D1722" s="53"/>
      <c r="E1722" s="46"/>
      <c r="F1722" s="46"/>
      <c r="G1722" s="46"/>
      <c r="H1722" s="46"/>
      <c r="I1722" s="47"/>
    </row>
    <row r="1723" spans="2:10" ht="34.35" customHeight="1" x14ac:dyDescent="0.25">
      <c r="B1723" s="30" t="s">
        <v>1317</v>
      </c>
      <c r="C1723" s="52" t="s">
        <v>1318</v>
      </c>
      <c r="D1723" s="53"/>
      <c r="E1723" s="46"/>
      <c r="F1723" s="46"/>
      <c r="G1723" s="46"/>
      <c r="H1723" s="46"/>
      <c r="I1723" s="47"/>
    </row>
    <row r="1724" spans="2:10" ht="34.35" customHeight="1" x14ac:dyDescent="0.25">
      <c r="B1724" s="30" t="s">
        <v>1319</v>
      </c>
      <c r="C1724" s="52" t="s">
        <v>1320</v>
      </c>
      <c r="D1724" s="53"/>
      <c r="E1724" s="46"/>
      <c r="F1724" s="46"/>
      <c r="G1724" s="46"/>
      <c r="H1724" s="46"/>
      <c r="I1724" s="47"/>
    </row>
    <row r="1725" spans="2:10" ht="34.35" customHeight="1" x14ac:dyDescent="0.25">
      <c r="B1725" s="30" t="s">
        <v>1321</v>
      </c>
      <c r="C1725" s="52" t="s">
        <v>1322</v>
      </c>
      <c r="D1725" s="53"/>
      <c r="E1725" s="46"/>
      <c r="F1725" s="46"/>
      <c r="G1725" s="46"/>
      <c r="H1725" s="46"/>
      <c r="I1725" s="47"/>
    </row>
    <row r="1726" spans="2:10" ht="34.35" customHeight="1" x14ac:dyDescent="0.25">
      <c r="B1726" s="30" t="s">
        <v>1323</v>
      </c>
      <c r="C1726" s="52" t="s">
        <v>1324</v>
      </c>
      <c r="D1726" s="53"/>
      <c r="E1726" s="46"/>
      <c r="F1726" s="46"/>
      <c r="G1726" s="46"/>
      <c r="H1726" s="46"/>
      <c r="I1726" s="47"/>
    </row>
    <row r="1727" spans="2:10" ht="34.35" customHeight="1" x14ac:dyDescent="0.25">
      <c r="B1727" s="30" t="s">
        <v>1325</v>
      </c>
      <c r="C1727" s="52" t="s">
        <v>1326</v>
      </c>
      <c r="D1727" s="53"/>
      <c r="E1727" s="46"/>
      <c r="F1727" s="46"/>
      <c r="G1727" s="46"/>
      <c r="H1727" s="46"/>
      <c r="I1727" s="47"/>
    </row>
    <row r="1728" spans="2:10" ht="34.35" customHeight="1" x14ac:dyDescent="0.25">
      <c r="B1728" s="30" t="s">
        <v>1327</v>
      </c>
      <c r="C1728" s="52" t="s">
        <v>1328</v>
      </c>
      <c r="D1728" s="53"/>
      <c r="E1728" s="46"/>
      <c r="F1728" s="46"/>
      <c r="G1728" s="46"/>
      <c r="H1728" s="46"/>
      <c r="I1728" s="47"/>
    </row>
    <row r="1729" spans="2:10" ht="34.35" customHeight="1" x14ac:dyDescent="0.25">
      <c r="B1729" s="30" t="s">
        <v>1329</v>
      </c>
      <c r="C1729" s="52" t="s">
        <v>1330</v>
      </c>
      <c r="D1729" s="53"/>
      <c r="E1729" s="46"/>
      <c r="F1729" s="46"/>
      <c r="G1729" s="46"/>
      <c r="H1729" s="46"/>
      <c r="I1729" s="47"/>
    </row>
    <row r="1730" spans="2:10" ht="34.35" customHeight="1" x14ac:dyDescent="0.25">
      <c r="B1730" s="30" t="s">
        <v>1331</v>
      </c>
      <c r="C1730" s="52" t="s">
        <v>1332</v>
      </c>
      <c r="D1730" s="53"/>
      <c r="E1730" s="46"/>
      <c r="F1730" s="46"/>
      <c r="G1730" s="46"/>
      <c r="H1730" s="46"/>
      <c r="I1730" s="47"/>
    </row>
    <row r="1731" spans="2:10" ht="19.899999999999999" customHeight="1" x14ac:dyDescent="0.25">
      <c r="B1731" s="30" t="s">
        <v>1333</v>
      </c>
      <c r="C1731" s="52" t="s">
        <v>1334</v>
      </c>
      <c r="D1731" s="53"/>
      <c r="E1731" s="46"/>
      <c r="F1731" s="46"/>
      <c r="G1731" s="46"/>
      <c r="H1731" s="46"/>
      <c r="I1731" s="47"/>
    </row>
    <row r="1732" spans="2:10" ht="19.899999999999999" customHeight="1" x14ac:dyDescent="0.25">
      <c r="B1732" s="30" t="s">
        <v>1335</v>
      </c>
      <c r="C1732" s="52" t="s">
        <v>1336</v>
      </c>
      <c r="D1732" s="53"/>
      <c r="E1732" s="46"/>
      <c r="F1732" s="46"/>
      <c r="G1732" s="46"/>
      <c r="H1732" s="46"/>
      <c r="I1732" s="47"/>
    </row>
    <row r="1733" spans="2:10" ht="34.35" customHeight="1" x14ac:dyDescent="0.25">
      <c r="B1733" s="30" t="s">
        <v>1337</v>
      </c>
      <c r="C1733" s="52" t="s">
        <v>1338</v>
      </c>
      <c r="D1733" s="53"/>
      <c r="E1733" s="46"/>
      <c r="F1733" s="46"/>
      <c r="G1733" s="46"/>
      <c r="H1733" s="46"/>
      <c r="I1733" s="47"/>
    </row>
    <row r="1734" spans="2:10" ht="19.899999999999999" customHeight="1" x14ac:dyDescent="0.25">
      <c r="B1734" s="30" t="s">
        <v>1339</v>
      </c>
      <c r="C1734" s="52" t="s">
        <v>1340</v>
      </c>
      <c r="D1734" s="53"/>
      <c r="E1734" s="46"/>
      <c r="F1734" s="46"/>
      <c r="G1734" s="46"/>
      <c r="H1734" s="46"/>
      <c r="I1734" s="47"/>
      <c r="J1734" s="17" t="str">
        <f>HYPERLINK("#'Ändringshistorik'!C365", "Ändringshistorik: [10]")</f>
        <v>Ändringshistorik: [10]</v>
      </c>
    </row>
    <row r="1735" spans="2:10" ht="34.35" customHeight="1" x14ac:dyDescent="0.25">
      <c r="B1735" s="30" t="s">
        <v>1341</v>
      </c>
      <c r="C1735" s="52" t="s">
        <v>1342</v>
      </c>
      <c r="D1735" s="53"/>
      <c r="E1735" s="46"/>
      <c r="F1735" s="46"/>
      <c r="G1735" s="46"/>
      <c r="H1735" s="46"/>
      <c r="I1735" s="47"/>
    </row>
    <row r="1736" spans="2:10" ht="19.899999999999999" customHeight="1" x14ac:dyDescent="0.25">
      <c r="B1736" s="30" t="s">
        <v>1343</v>
      </c>
      <c r="C1736" s="52" t="s">
        <v>1344</v>
      </c>
      <c r="D1736" s="53"/>
      <c r="E1736" s="46"/>
      <c r="F1736" s="46"/>
      <c r="G1736" s="46"/>
      <c r="H1736" s="46"/>
      <c r="I1736" s="47"/>
    </row>
    <row r="1737" spans="2:10" ht="34.35" customHeight="1" x14ac:dyDescent="0.25">
      <c r="B1737" s="30" t="s">
        <v>1345</v>
      </c>
      <c r="C1737" s="52" t="s">
        <v>1346</v>
      </c>
      <c r="D1737" s="53"/>
      <c r="E1737" s="46"/>
      <c r="F1737" s="46"/>
      <c r="G1737" s="46"/>
      <c r="H1737" s="46"/>
      <c r="I1737" s="47"/>
    </row>
    <row r="1738" spans="2:10" ht="34.35" customHeight="1" x14ac:dyDescent="0.25">
      <c r="B1738" s="30" t="s">
        <v>1347</v>
      </c>
      <c r="C1738" s="52" t="s">
        <v>1348</v>
      </c>
      <c r="D1738" s="53"/>
      <c r="E1738" s="46"/>
      <c r="F1738" s="46"/>
      <c r="G1738" s="46"/>
      <c r="H1738" s="46"/>
      <c r="I1738" s="47"/>
    </row>
    <row r="1739" spans="2:10" ht="34.35" customHeight="1" x14ac:dyDescent="0.25">
      <c r="B1739" s="30" t="s">
        <v>1349</v>
      </c>
      <c r="C1739" s="52" t="s">
        <v>1350</v>
      </c>
      <c r="D1739" s="53"/>
      <c r="E1739" s="46"/>
      <c r="F1739" s="46"/>
      <c r="G1739" s="46"/>
      <c r="H1739" s="46"/>
      <c r="I1739" s="47"/>
    </row>
    <row r="1740" spans="2:10" ht="19.899999999999999" customHeight="1" x14ac:dyDescent="0.25">
      <c r="B1740" s="30" t="s">
        <v>1351</v>
      </c>
      <c r="C1740" s="52" t="s">
        <v>1352</v>
      </c>
      <c r="D1740" s="53"/>
      <c r="E1740" s="46"/>
      <c r="F1740" s="46"/>
      <c r="G1740" s="46"/>
      <c r="H1740" s="46"/>
      <c r="I1740" s="47"/>
    </row>
    <row r="1741" spans="2:10" ht="19.899999999999999" customHeight="1" x14ac:dyDescent="0.25">
      <c r="B1741" s="30" t="s">
        <v>1353</v>
      </c>
      <c r="C1741" s="52" t="s">
        <v>1354</v>
      </c>
      <c r="D1741" s="53"/>
      <c r="E1741" s="46"/>
      <c r="F1741" s="46"/>
      <c r="G1741" s="46"/>
      <c r="H1741" s="46"/>
      <c r="I1741" s="47"/>
    </row>
    <row r="1742" spans="2:10" ht="19.899999999999999" customHeight="1" x14ac:dyDescent="0.25">
      <c r="B1742" s="30" t="s">
        <v>1355</v>
      </c>
      <c r="C1742" s="52" t="s">
        <v>1356</v>
      </c>
      <c r="D1742" s="53"/>
      <c r="E1742" s="46"/>
      <c r="F1742" s="46"/>
      <c r="G1742" s="46"/>
      <c r="H1742" s="46"/>
      <c r="I1742" s="47"/>
    </row>
    <row r="1743" spans="2:10" ht="34.35" customHeight="1" x14ac:dyDescent="0.25">
      <c r="B1743" s="30" t="s">
        <v>1357</v>
      </c>
      <c r="C1743" s="52" t="s">
        <v>1358</v>
      </c>
      <c r="D1743" s="53"/>
      <c r="E1743" s="46"/>
      <c r="F1743" s="46"/>
      <c r="G1743" s="46"/>
      <c r="H1743" s="46"/>
      <c r="I1743" s="47"/>
    </row>
    <row r="1744" spans="2:10" ht="48.95" customHeight="1" x14ac:dyDescent="0.25">
      <c r="B1744" s="30" t="s">
        <v>1359</v>
      </c>
      <c r="C1744" s="52" t="s">
        <v>1360</v>
      </c>
      <c r="D1744" s="53"/>
      <c r="E1744" s="46"/>
      <c r="F1744" s="46"/>
      <c r="G1744" s="46"/>
      <c r="H1744" s="46"/>
      <c r="I1744" s="47"/>
    </row>
    <row r="1745" spans="1:10" ht="34.35" customHeight="1" x14ac:dyDescent="0.25">
      <c r="B1745" s="30" t="s">
        <v>1361</v>
      </c>
      <c r="C1745" s="52" t="s">
        <v>1362</v>
      </c>
      <c r="D1745" s="53"/>
      <c r="E1745" s="46"/>
      <c r="F1745" s="46"/>
      <c r="G1745" s="46"/>
      <c r="H1745" s="46"/>
      <c r="I1745" s="47"/>
    </row>
    <row r="1746" spans="1:10" ht="19.899999999999999" customHeight="1" x14ac:dyDescent="0.25">
      <c r="B1746" s="30" t="s">
        <v>1363</v>
      </c>
      <c r="C1746" s="52" t="s">
        <v>1118</v>
      </c>
      <c r="D1746" s="53"/>
      <c r="E1746" s="46"/>
      <c r="F1746" s="46"/>
      <c r="G1746" s="46"/>
      <c r="H1746" s="46"/>
      <c r="I1746" s="47"/>
    </row>
    <row r="1747" spans="1:10" ht="19.899999999999999" customHeight="1" x14ac:dyDescent="0.25">
      <c r="B1747" s="30" t="s">
        <v>1364</v>
      </c>
      <c r="C1747" s="52" t="s">
        <v>1365</v>
      </c>
      <c r="D1747" s="53"/>
      <c r="E1747" s="46"/>
      <c r="F1747" s="46"/>
      <c r="G1747" s="46"/>
      <c r="H1747" s="46"/>
      <c r="I1747" s="47"/>
    </row>
    <row r="1748" spans="1:10" ht="19.899999999999999" customHeight="1" x14ac:dyDescent="0.25">
      <c r="B1748" s="30" t="s">
        <v>1366</v>
      </c>
      <c r="C1748" s="52" t="s">
        <v>1367</v>
      </c>
      <c r="D1748" s="53"/>
      <c r="E1748" s="46"/>
      <c r="F1748" s="46"/>
      <c r="G1748" s="46"/>
      <c r="H1748" s="46"/>
      <c r="I1748" s="47"/>
    </row>
    <row r="1749" spans="1:10" ht="19.899999999999999" customHeight="1" x14ac:dyDescent="0.25">
      <c r="B1749" s="30" t="s">
        <v>1368</v>
      </c>
      <c r="C1749" s="52" t="s">
        <v>1369</v>
      </c>
      <c r="D1749" s="53"/>
      <c r="E1749" s="46"/>
      <c r="F1749" s="46"/>
      <c r="G1749" s="46"/>
      <c r="H1749" s="46"/>
      <c r="I1749" s="47"/>
    </row>
    <row r="1750" spans="1:10" ht="19.899999999999999" customHeight="1" x14ac:dyDescent="0.25">
      <c r="B1750" s="31" t="s">
        <v>1370</v>
      </c>
      <c r="C1750" s="59" t="s">
        <v>1369</v>
      </c>
      <c r="D1750" s="60"/>
      <c r="E1750" s="49"/>
      <c r="F1750" s="49"/>
      <c r="G1750" s="49"/>
      <c r="H1750" s="49"/>
      <c r="I1750" s="50"/>
    </row>
    <row r="1754" spans="1:10" ht="48.95" customHeight="1" x14ac:dyDescent="0.25">
      <c r="A1754" s="45" t="s">
        <v>19</v>
      </c>
      <c r="B1754" s="46"/>
      <c r="C1754" s="46"/>
      <c r="D1754" s="46"/>
      <c r="E1754" s="46"/>
      <c r="F1754" s="46"/>
      <c r="G1754" s="46"/>
      <c r="H1754" s="46"/>
      <c r="I1754" s="46"/>
    </row>
    <row r="1755" spans="1:10" ht="18.75" x14ac:dyDescent="0.25">
      <c r="A1755" s="16" t="s">
        <v>1371</v>
      </c>
      <c r="B1755" s="3" t="s">
        <v>47</v>
      </c>
      <c r="J1755" s="17" t="str">
        <f>HYPERLINK("#'Ändringshistorik'!C343", "Ändringshistorik: [32] ,[48] ,[49] ,[50] ,[51] ,[52] ,[53] ,[54] ,[55] ,[56] ,[68] ,[69] ,[70] ,[71] ,[72] ,[73] ,[74] ,[75] ,[76] ,[77] ,[78] ,[79] ,[80] ,[81] ,[82] ,[83] ,[219]")</f>
        <v>Ändringshistorik: [32] ,[48] ,[49] ,[50] ,[51] ,[52] ,[53] ,[54] ,[55] ,[56] ,[68] ,[69] ,[70] ,[71] ,[72] ,[73] ,[74] ,[75] ,[76] ,[77] ,[78] ,[79] ,[80] ,[81] ,[82] ,[83] ,[219]</v>
      </c>
    </row>
    <row r="1756" spans="1:10" ht="77.849999999999994" customHeight="1" x14ac:dyDescent="0.25">
      <c r="B1756" s="22" t="s">
        <v>1372</v>
      </c>
      <c r="C1756" s="32" t="s">
        <v>220</v>
      </c>
      <c r="D1756" s="42" t="s">
        <v>1373</v>
      </c>
      <c r="E1756" s="43"/>
      <c r="F1756" s="43"/>
      <c r="G1756" s="43"/>
      <c r="H1756" s="43"/>
      <c r="I1756" s="44"/>
    </row>
    <row r="1757" spans="1:10" x14ac:dyDescent="0.25">
      <c r="B1757" s="23"/>
      <c r="C1757" s="2" t="s">
        <v>222</v>
      </c>
      <c r="I1757" s="26"/>
    </row>
    <row r="1758" spans="1:10" x14ac:dyDescent="0.25">
      <c r="B1758" s="23"/>
      <c r="I1758" s="26"/>
    </row>
    <row r="1759" spans="1:10" x14ac:dyDescent="0.25">
      <c r="B1759" s="23"/>
      <c r="C1759" s="51" t="s">
        <v>55</v>
      </c>
      <c r="D1759" s="46"/>
      <c r="E1759" s="46"/>
      <c r="F1759" s="46"/>
      <c r="G1759" s="46"/>
      <c r="H1759" s="46"/>
      <c r="I1759" s="47"/>
    </row>
    <row r="1760" spans="1:10" x14ac:dyDescent="0.25">
      <c r="B1760" s="23"/>
      <c r="I1760" s="26"/>
    </row>
    <row r="1761" spans="2:9" ht="34.35" customHeight="1" x14ac:dyDescent="0.25">
      <c r="B1761" s="24" t="s">
        <v>1082</v>
      </c>
      <c r="C1761" s="18" t="s">
        <v>49</v>
      </c>
      <c r="D1761" s="52" t="s">
        <v>1374</v>
      </c>
      <c r="E1761" s="53"/>
      <c r="F1761" s="53"/>
      <c r="G1761" s="53"/>
      <c r="H1761" s="53"/>
      <c r="I1761" s="54"/>
    </row>
    <row r="1762" spans="2:9" ht="63.4" customHeight="1" x14ac:dyDescent="0.25">
      <c r="B1762" s="23"/>
      <c r="C1762" s="2" t="s">
        <v>1375</v>
      </c>
      <c r="D1762" s="45" t="s">
        <v>1376</v>
      </c>
      <c r="E1762" s="46"/>
      <c r="F1762" s="46"/>
      <c r="G1762" s="46"/>
      <c r="H1762" s="46"/>
      <c r="I1762" s="47"/>
    </row>
    <row r="1763" spans="2:9" ht="34.35" customHeight="1" x14ac:dyDescent="0.25">
      <c r="B1763" s="23"/>
      <c r="C1763" s="2" t="s">
        <v>1377</v>
      </c>
      <c r="D1763" s="45" t="s">
        <v>1378</v>
      </c>
      <c r="E1763" s="46"/>
      <c r="F1763" s="46"/>
      <c r="G1763" s="46"/>
      <c r="H1763" s="46"/>
      <c r="I1763" s="47"/>
    </row>
    <row r="1764" spans="2:9" ht="19.899999999999999" customHeight="1" x14ac:dyDescent="0.25">
      <c r="B1764" s="23"/>
      <c r="C1764" s="2" t="s">
        <v>289</v>
      </c>
      <c r="D1764" s="45" t="s">
        <v>635</v>
      </c>
      <c r="E1764" s="46"/>
      <c r="F1764" s="46"/>
      <c r="G1764" s="46"/>
      <c r="H1764" s="46"/>
      <c r="I1764" s="47"/>
    </row>
    <row r="1765" spans="2:9" ht="19.899999999999999" customHeight="1" x14ac:dyDescent="0.25">
      <c r="B1765" s="23"/>
      <c r="C1765" s="2" t="s">
        <v>1379</v>
      </c>
      <c r="D1765" s="45" t="s">
        <v>1380</v>
      </c>
      <c r="E1765" s="46"/>
      <c r="F1765" s="46"/>
      <c r="G1765" s="46"/>
      <c r="H1765" s="46"/>
      <c r="I1765" s="47"/>
    </row>
    <row r="1766" spans="2:9" x14ac:dyDescent="0.25">
      <c r="B1766" s="23"/>
      <c r="I1766" s="26"/>
    </row>
    <row r="1767" spans="2:9" x14ac:dyDescent="0.25">
      <c r="B1767" s="23"/>
      <c r="C1767" s="51" t="s">
        <v>55</v>
      </c>
      <c r="D1767" s="46"/>
      <c r="E1767" s="46"/>
      <c r="F1767" s="46"/>
      <c r="G1767" s="46"/>
      <c r="H1767" s="46"/>
      <c r="I1767" s="47"/>
    </row>
    <row r="1768" spans="2:9" x14ac:dyDescent="0.25">
      <c r="B1768" s="23"/>
      <c r="I1768" s="26"/>
    </row>
    <row r="1769" spans="2:9" ht="19.899999999999999" customHeight="1" x14ac:dyDescent="0.25">
      <c r="B1769" s="24" t="s">
        <v>1381</v>
      </c>
      <c r="C1769" s="19" t="s">
        <v>220</v>
      </c>
      <c r="D1769" s="52" t="s">
        <v>1382</v>
      </c>
      <c r="E1769" s="53"/>
      <c r="F1769" s="53"/>
      <c r="G1769" s="53"/>
      <c r="H1769" s="53"/>
      <c r="I1769" s="54"/>
    </row>
    <row r="1770" spans="2:9" x14ac:dyDescent="0.25">
      <c r="B1770" s="23"/>
      <c r="C1770" s="2" t="s">
        <v>222</v>
      </c>
      <c r="I1770" s="26"/>
    </row>
    <row r="1771" spans="2:9" x14ac:dyDescent="0.25">
      <c r="B1771" s="23"/>
      <c r="I1771" s="26"/>
    </row>
    <row r="1772" spans="2:9" x14ac:dyDescent="0.25">
      <c r="B1772" s="23"/>
      <c r="C1772" s="55" t="s">
        <v>60</v>
      </c>
      <c r="D1772" s="46"/>
      <c r="E1772" s="46"/>
      <c r="F1772" s="46"/>
      <c r="G1772" s="46"/>
      <c r="H1772" s="46"/>
      <c r="I1772" s="47"/>
    </row>
    <row r="1773" spans="2:9" x14ac:dyDescent="0.25">
      <c r="B1773" s="23"/>
      <c r="I1773" s="26"/>
    </row>
    <row r="1774" spans="2:9" ht="19.899999999999999" customHeight="1" x14ac:dyDescent="0.25">
      <c r="B1774" s="24" t="s">
        <v>1383</v>
      </c>
      <c r="C1774" s="18" t="s">
        <v>49</v>
      </c>
      <c r="D1774" s="52" t="s">
        <v>1384</v>
      </c>
      <c r="E1774" s="53"/>
      <c r="F1774" s="53"/>
      <c r="G1774" s="53"/>
      <c r="H1774" s="53"/>
      <c r="I1774" s="54"/>
    </row>
    <row r="1775" spans="2:9" ht="19.899999999999999" customHeight="1" x14ac:dyDescent="0.25">
      <c r="B1775" s="23"/>
      <c r="C1775" s="2" t="s">
        <v>1385</v>
      </c>
      <c r="D1775" s="45" t="s">
        <v>1386</v>
      </c>
      <c r="E1775" s="46"/>
      <c r="F1775" s="46"/>
      <c r="G1775" s="46"/>
      <c r="H1775" s="46"/>
      <c r="I1775" s="47"/>
    </row>
    <row r="1776" spans="2:9" ht="63.4" customHeight="1" x14ac:dyDescent="0.25">
      <c r="B1776" s="23"/>
      <c r="C1776" s="2" t="s">
        <v>1387</v>
      </c>
      <c r="D1776" s="45" t="s">
        <v>1388</v>
      </c>
      <c r="E1776" s="46"/>
      <c r="F1776" s="46"/>
      <c r="G1776" s="46"/>
      <c r="H1776" s="46"/>
      <c r="I1776" s="47"/>
    </row>
    <row r="1777" spans="2:9" ht="63.4" customHeight="1" x14ac:dyDescent="0.25">
      <c r="B1777" s="23"/>
      <c r="C1777" s="2" t="s">
        <v>1389</v>
      </c>
      <c r="D1777" s="45" t="s">
        <v>1390</v>
      </c>
      <c r="E1777" s="46"/>
      <c r="F1777" s="46"/>
      <c r="G1777" s="46"/>
      <c r="H1777" s="46"/>
      <c r="I1777" s="47"/>
    </row>
    <row r="1778" spans="2:9" ht="48.95" customHeight="1" x14ac:dyDescent="0.25">
      <c r="B1778" s="23"/>
      <c r="C1778" s="2" t="s">
        <v>1391</v>
      </c>
      <c r="D1778" s="45" t="s">
        <v>1392</v>
      </c>
      <c r="E1778" s="46"/>
      <c r="F1778" s="46"/>
      <c r="G1778" s="46"/>
      <c r="H1778" s="46"/>
      <c r="I1778" s="47"/>
    </row>
    <row r="1779" spans="2:9" ht="48.95" customHeight="1" x14ac:dyDescent="0.25">
      <c r="B1779" s="23"/>
      <c r="C1779" s="2" t="s">
        <v>1393</v>
      </c>
      <c r="D1779" s="45" t="s">
        <v>1394</v>
      </c>
      <c r="E1779" s="46"/>
      <c r="F1779" s="46"/>
      <c r="G1779" s="46"/>
      <c r="H1779" s="46"/>
      <c r="I1779" s="47"/>
    </row>
    <row r="1780" spans="2:9" ht="34.35" customHeight="1" x14ac:dyDescent="0.25">
      <c r="B1780" s="23"/>
      <c r="C1780" s="2" t="s">
        <v>1395</v>
      </c>
      <c r="D1780" s="45" t="s">
        <v>1396</v>
      </c>
      <c r="E1780" s="46"/>
      <c r="F1780" s="46"/>
      <c r="G1780" s="46"/>
      <c r="H1780" s="46"/>
      <c r="I1780" s="47"/>
    </row>
    <row r="1781" spans="2:9" ht="34.35" customHeight="1" x14ac:dyDescent="0.25">
      <c r="B1781" s="23"/>
      <c r="C1781" s="2" t="s">
        <v>1397</v>
      </c>
      <c r="D1781" s="45" t="s">
        <v>1398</v>
      </c>
      <c r="E1781" s="46"/>
      <c r="F1781" s="46"/>
      <c r="G1781" s="46"/>
      <c r="H1781" s="46"/>
      <c r="I1781" s="47"/>
    </row>
    <row r="1782" spans="2:9" ht="34.35" customHeight="1" x14ac:dyDescent="0.25">
      <c r="B1782" s="23"/>
      <c r="C1782" s="2" t="s">
        <v>1399</v>
      </c>
      <c r="D1782" s="45" t="s">
        <v>1400</v>
      </c>
      <c r="E1782" s="46"/>
      <c r="F1782" s="46"/>
      <c r="G1782" s="46"/>
      <c r="H1782" s="46"/>
      <c r="I1782" s="47"/>
    </row>
    <row r="1783" spans="2:9" ht="19.899999999999999" customHeight="1" x14ac:dyDescent="0.25">
      <c r="B1783" s="23"/>
      <c r="C1783" s="2" t="s">
        <v>1401</v>
      </c>
      <c r="D1783" s="45" t="s">
        <v>1402</v>
      </c>
      <c r="E1783" s="46"/>
      <c r="F1783" s="46"/>
      <c r="G1783" s="46"/>
      <c r="H1783" s="46"/>
      <c r="I1783" s="47"/>
    </row>
    <row r="1784" spans="2:9" ht="19.899999999999999" customHeight="1" x14ac:dyDescent="0.25">
      <c r="B1784" s="23"/>
      <c r="C1784" s="2" t="s">
        <v>1403</v>
      </c>
      <c r="D1784" s="45" t="s">
        <v>1404</v>
      </c>
      <c r="E1784" s="46"/>
      <c r="F1784" s="46"/>
      <c r="G1784" s="46"/>
      <c r="H1784" s="46"/>
      <c r="I1784" s="47"/>
    </row>
    <row r="1785" spans="2:9" ht="34.35" customHeight="1" x14ac:dyDescent="0.25">
      <c r="B1785" s="23"/>
      <c r="C1785" s="2" t="s">
        <v>1405</v>
      </c>
      <c r="D1785" s="45" t="s">
        <v>1406</v>
      </c>
      <c r="E1785" s="46"/>
      <c r="F1785" s="46"/>
      <c r="G1785" s="46"/>
      <c r="H1785" s="46"/>
      <c r="I1785" s="47"/>
    </row>
    <row r="1786" spans="2:9" ht="19.899999999999999" customHeight="1" x14ac:dyDescent="0.25">
      <c r="B1786" s="23"/>
      <c r="C1786" s="2" t="s">
        <v>1407</v>
      </c>
      <c r="D1786" s="45" t="s">
        <v>1408</v>
      </c>
      <c r="E1786" s="46"/>
      <c r="F1786" s="46"/>
      <c r="G1786" s="46"/>
      <c r="H1786" s="46"/>
      <c r="I1786" s="47"/>
    </row>
    <row r="1787" spans="2:9" ht="19.899999999999999" customHeight="1" x14ac:dyDescent="0.25">
      <c r="B1787" s="23"/>
      <c r="C1787" s="2" t="s">
        <v>1409</v>
      </c>
      <c r="D1787" s="45" t="s">
        <v>1410</v>
      </c>
      <c r="E1787" s="46"/>
      <c r="F1787" s="46"/>
      <c r="G1787" s="46"/>
      <c r="H1787" s="46"/>
      <c r="I1787" s="47"/>
    </row>
    <row r="1788" spans="2:9" ht="19.899999999999999" customHeight="1" x14ac:dyDescent="0.25">
      <c r="B1788" s="23"/>
      <c r="C1788" s="2" t="s">
        <v>1411</v>
      </c>
      <c r="D1788" s="45" t="s">
        <v>1412</v>
      </c>
      <c r="E1788" s="46"/>
      <c r="F1788" s="46"/>
      <c r="G1788" s="46"/>
      <c r="H1788" s="46"/>
      <c r="I1788" s="47"/>
    </row>
    <row r="1789" spans="2:9" ht="19.899999999999999" customHeight="1" x14ac:dyDescent="0.25">
      <c r="B1789" s="23"/>
      <c r="C1789" s="2" t="s">
        <v>1413</v>
      </c>
      <c r="D1789" s="45" t="s">
        <v>1414</v>
      </c>
      <c r="E1789" s="46"/>
      <c r="F1789" s="46"/>
      <c r="G1789" s="46"/>
      <c r="H1789" s="46"/>
      <c r="I1789" s="47"/>
    </row>
    <row r="1790" spans="2:9" x14ac:dyDescent="0.25">
      <c r="B1790" s="23"/>
      <c r="I1790" s="26"/>
    </row>
    <row r="1791" spans="2:9" x14ac:dyDescent="0.25">
      <c r="B1791" s="23"/>
      <c r="C1791" s="55" t="s">
        <v>60</v>
      </c>
      <c r="D1791" s="46"/>
      <c r="E1791" s="46"/>
      <c r="F1791" s="46"/>
      <c r="G1791" s="46"/>
      <c r="H1791" s="46"/>
      <c r="I1791" s="47"/>
    </row>
    <row r="1792" spans="2:9" x14ac:dyDescent="0.25">
      <c r="B1792" s="23"/>
      <c r="I1792" s="26"/>
    </row>
    <row r="1793" spans="2:9" ht="19.899999999999999" customHeight="1" x14ac:dyDescent="0.25">
      <c r="B1793" s="24" t="s">
        <v>1245</v>
      </c>
      <c r="C1793" s="19" t="s">
        <v>220</v>
      </c>
      <c r="D1793" s="52" t="s">
        <v>1415</v>
      </c>
      <c r="E1793" s="53"/>
      <c r="F1793" s="53"/>
      <c r="G1793" s="53"/>
      <c r="H1793" s="53"/>
      <c r="I1793" s="54"/>
    </row>
    <row r="1794" spans="2:9" x14ac:dyDescent="0.25">
      <c r="B1794" s="23"/>
      <c r="C1794" s="2" t="s">
        <v>222</v>
      </c>
      <c r="I1794" s="26"/>
    </row>
    <row r="1795" spans="2:9" x14ac:dyDescent="0.25">
      <c r="B1795" s="23"/>
      <c r="I1795" s="26"/>
    </row>
    <row r="1796" spans="2:9" x14ac:dyDescent="0.25">
      <c r="B1796" s="23"/>
      <c r="C1796" s="55" t="s">
        <v>60</v>
      </c>
      <c r="D1796" s="46"/>
      <c r="E1796" s="46"/>
      <c r="F1796" s="46"/>
      <c r="G1796" s="46"/>
      <c r="H1796" s="46"/>
      <c r="I1796" s="47"/>
    </row>
    <row r="1797" spans="2:9" x14ac:dyDescent="0.25">
      <c r="B1797" s="23"/>
      <c r="I1797" s="26"/>
    </row>
    <row r="1798" spans="2:9" ht="19.899999999999999" customHeight="1" x14ac:dyDescent="0.25">
      <c r="B1798" s="24" t="s">
        <v>1416</v>
      </c>
      <c r="C1798" s="18" t="s">
        <v>485</v>
      </c>
      <c r="D1798" s="52" t="s">
        <v>1417</v>
      </c>
      <c r="E1798" s="53"/>
      <c r="F1798" s="53"/>
      <c r="G1798" s="53"/>
      <c r="H1798" s="53"/>
      <c r="I1798" s="54"/>
    </row>
    <row r="1799" spans="2:9" ht="34.35" customHeight="1" x14ac:dyDescent="0.25">
      <c r="B1799" s="23"/>
      <c r="C1799" s="2" t="s">
        <v>1418</v>
      </c>
      <c r="D1799" s="45" t="s">
        <v>1419</v>
      </c>
      <c r="E1799" s="46"/>
      <c r="F1799" s="46"/>
      <c r="G1799" s="46"/>
      <c r="H1799" s="46"/>
      <c r="I1799" s="47"/>
    </row>
    <row r="1800" spans="2:9" ht="48.95" customHeight="1" x14ac:dyDescent="0.25">
      <c r="B1800" s="23"/>
      <c r="C1800" s="2" t="s">
        <v>1420</v>
      </c>
      <c r="D1800" s="45" t="s">
        <v>1421</v>
      </c>
      <c r="E1800" s="46"/>
      <c r="F1800" s="46"/>
      <c r="G1800" s="46"/>
      <c r="H1800" s="46"/>
      <c r="I1800" s="47"/>
    </row>
    <row r="1801" spans="2:9" ht="34.35" customHeight="1" x14ac:dyDescent="0.25">
      <c r="B1801" s="23"/>
      <c r="C1801" s="2" t="s">
        <v>1422</v>
      </c>
      <c r="D1801" s="45" t="s">
        <v>1423</v>
      </c>
      <c r="E1801" s="46"/>
      <c r="F1801" s="46"/>
      <c r="G1801" s="46"/>
      <c r="H1801" s="46"/>
      <c r="I1801" s="47"/>
    </row>
    <row r="1802" spans="2:9" ht="19.899999999999999" customHeight="1" x14ac:dyDescent="0.25">
      <c r="B1802" s="23"/>
      <c r="C1802" s="2" t="s">
        <v>1249</v>
      </c>
      <c r="D1802" s="45" t="s">
        <v>1424</v>
      </c>
      <c r="E1802" s="46"/>
      <c r="F1802" s="46"/>
      <c r="G1802" s="46"/>
      <c r="H1802" s="46"/>
      <c r="I1802" s="47"/>
    </row>
    <row r="1803" spans="2:9" ht="19.899999999999999" customHeight="1" x14ac:dyDescent="0.25">
      <c r="B1803" s="23"/>
      <c r="C1803" s="2" t="s">
        <v>1425</v>
      </c>
      <c r="D1803" s="45" t="s">
        <v>1426</v>
      </c>
      <c r="E1803" s="46"/>
      <c r="F1803" s="46"/>
      <c r="G1803" s="46"/>
      <c r="H1803" s="46"/>
      <c r="I1803" s="47"/>
    </row>
    <row r="1804" spans="2:9" x14ac:dyDescent="0.25">
      <c r="B1804" s="23"/>
      <c r="I1804" s="26"/>
    </row>
    <row r="1805" spans="2:9" x14ac:dyDescent="0.25">
      <c r="B1805" s="23"/>
      <c r="C1805" s="55" t="s">
        <v>60</v>
      </c>
      <c r="D1805" s="46"/>
      <c r="E1805" s="46"/>
      <c r="F1805" s="46"/>
      <c r="G1805" s="46"/>
      <c r="H1805" s="46"/>
      <c r="I1805" s="47"/>
    </row>
    <row r="1806" spans="2:9" x14ac:dyDescent="0.25">
      <c r="B1806" s="23"/>
      <c r="I1806" s="26"/>
    </row>
    <row r="1807" spans="2:9" ht="19.899999999999999" customHeight="1" x14ac:dyDescent="0.25">
      <c r="B1807" s="24" t="s">
        <v>1427</v>
      </c>
      <c r="C1807" s="18" t="s">
        <v>49</v>
      </c>
      <c r="D1807" s="52" t="s">
        <v>1428</v>
      </c>
      <c r="E1807" s="53"/>
      <c r="F1807" s="53"/>
      <c r="G1807" s="53"/>
      <c r="H1807" s="53"/>
      <c r="I1807" s="54"/>
    </row>
    <row r="1808" spans="2:9" ht="19.899999999999999" customHeight="1" x14ac:dyDescent="0.25">
      <c r="B1808" s="23"/>
      <c r="C1808" s="2" t="s">
        <v>1429</v>
      </c>
      <c r="D1808" s="45" t="s">
        <v>1430</v>
      </c>
      <c r="E1808" s="46"/>
      <c r="F1808" s="46"/>
      <c r="G1808" s="46"/>
      <c r="H1808" s="46"/>
      <c r="I1808" s="47"/>
    </row>
    <row r="1809" spans="2:9" ht="19.899999999999999" customHeight="1" x14ac:dyDescent="0.25">
      <c r="B1809" s="23"/>
      <c r="C1809" s="2" t="s">
        <v>289</v>
      </c>
      <c r="D1809" s="45" t="s">
        <v>635</v>
      </c>
      <c r="E1809" s="46"/>
      <c r="F1809" s="46"/>
      <c r="G1809" s="46"/>
      <c r="H1809" s="46"/>
      <c r="I1809" s="47"/>
    </row>
    <row r="1810" spans="2:9" ht="19.899999999999999" customHeight="1" x14ac:dyDescent="0.25">
      <c r="B1810" s="23"/>
      <c r="C1810" s="2" t="s">
        <v>1431</v>
      </c>
      <c r="D1810" s="45" t="s">
        <v>1432</v>
      </c>
      <c r="E1810" s="46"/>
      <c r="F1810" s="46"/>
      <c r="G1810" s="46"/>
      <c r="H1810" s="46"/>
      <c r="I1810" s="47"/>
    </row>
    <row r="1811" spans="2:9" x14ac:dyDescent="0.25">
      <c r="B1811" s="23"/>
      <c r="I1811" s="26"/>
    </row>
    <row r="1812" spans="2:9" x14ac:dyDescent="0.25">
      <c r="B1812" s="23"/>
      <c r="C1812" s="55" t="s">
        <v>60</v>
      </c>
      <c r="D1812" s="46"/>
      <c r="E1812" s="46"/>
      <c r="F1812" s="46"/>
      <c r="G1812" s="46"/>
      <c r="H1812" s="46"/>
      <c r="I1812" s="47"/>
    </row>
    <row r="1813" spans="2:9" x14ac:dyDescent="0.25">
      <c r="B1813" s="23"/>
      <c r="I1813" s="26"/>
    </row>
    <row r="1814" spans="2:9" ht="19.899999999999999" customHeight="1" x14ac:dyDescent="0.25">
      <c r="B1814" s="24" t="s">
        <v>1433</v>
      </c>
      <c r="C1814" s="18" t="s">
        <v>485</v>
      </c>
      <c r="D1814" s="52" t="s">
        <v>1434</v>
      </c>
      <c r="E1814" s="53"/>
      <c r="F1814" s="53"/>
      <c r="G1814" s="53"/>
      <c r="H1814" s="53"/>
      <c r="I1814" s="54"/>
    </row>
    <row r="1815" spans="2:9" ht="34.35" customHeight="1" x14ac:dyDescent="0.25">
      <c r="B1815" s="23"/>
      <c r="C1815" s="2" t="s">
        <v>1418</v>
      </c>
      <c r="D1815" s="45" t="s">
        <v>1435</v>
      </c>
      <c r="E1815" s="46"/>
      <c r="F1815" s="46"/>
      <c r="G1815" s="46"/>
      <c r="H1815" s="46"/>
      <c r="I1815" s="47"/>
    </row>
    <row r="1816" spans="2:9" ht="48.95" customHeight="1" x14ac:dyDescent="0.25">
      <c r="B1816" s="23"/>
      <c r="C1816" s="2" t="s">
        <v>1420</v>
      </c>
      <c r="D1816" s="45" t="s">
        <v>1436</v>
      </c>
      <c r="E1816" s="46"/>
      <c r="F1816" s="46"/>
      <c r="G1816" s="46"/>
      <c r="H1816" s="46"/>
      <c r="I1816" s="47"/>
    </row>
    <row r="1817" spans="2:9" ht="34.35" customHeight="1" x14ac:dyDescent="0.25">
      <c r="B1817" s="23"/>
      <c r="C1817" s="2" t="s">
        <v>1422</v>
      </c>
      <c r="D1817" s="45" t="s">
        <v>1437</v>
      </c>
      <c r="E1817" s="46"/>
      <c r="F1817" s="46"/>
      <c r="G1817" s="46"/>
      <c r="H1817" s="46"/>
      <c r="I1817" s="47"/>
    </row>
    <row r="1818" spans="2:9" ht="34.35" customHeight="1" x14ac:dyDescent="0.25">
      <c r="B1818" s="23"/>
      <c r="C1818" s="2" t="s">
        <v>1249</v>
      </c>
      <c r="D1818" s="45" t="s">
        <v>1438</v>
      </c>
      <c r="E1818" s="46"/>
      <c r="F1818" s="46"/>
      <c r="G1818" s="46"/>
      <c r="H1818" s="46"/>
      <c r="I1818" s="47"/>
    </row>
    <row r="1819" spans="2:9" ht="19.899999999999999" customHeight="1" x14ac:dyDescent="0.25">
      <c r="B1819" s="23"/>
      <c r="C1819" s="2" t="s">
        <v>1425</v>
      </c>
      <c r="D1819" s="45" t="s">
        <v>1439</v>
      </c>
      <c r="E1819" s="46"/>
      <c r="F1819" s="46"/>
      <c r="G1819" s="46"/>
      <c r="H1819" s="46"/>
      <c r="I1819" s="47"/>
    </row>
    <row r="1820" spans="2:9" x14ac:dyDescent="0.25">
      <c r="B1820" s="23"/>
      <c r="I1820" s="26"/>
    </row>
    <row r="1821" spans="2:9" x14ac:dyDescent="0.25">
      <c r="B1821" s="23"/>
      <c r="C1821" s="55" t="s">
        <v>60</v>
      </c>
      <c r="D1821" s="46"/>
      <c r="E1821" s="46"/>
      <c r="F1821" s="46"/>
      <c r="G1821" s="46"/>
      <c r="H1821" s="46"/>
      <c r="I1821" s="47"/>
    </row>
    <row r="1822" spans="2:9" x14ac:dyDescent="0.25">
      <c r="B1822" s="23"/>
      <c r="I1822" s="26"/>
    </row>
    <row r="1823" spans="2:9" ht="19.899999999999999" customHeight="1" x14ac:dyDescent="0.25">
      <c r="B1823" s="24" t="s">
        <v>1440</v>
      </c>
      <c r="C1823" s="18" t="s">
        <v>49</v>
      </c>
      <c r="D1823" s="52" t="s">
        <v>1441</v>
      </c>
      <c r="E1823" s="53"/>
      <c r="F1823" s="53"/>
      <c r="G1823" s="53"/>
      <c r="H1823" s="53"/>
      <c r="I1823" s="54"/>
    </row>
    <row r="1824" spans="2:9" ht="34.35" customHeight="1" x14ac:dyDescent="0.25">
      <c r="B1824" s="23"/>
      <c r="C1824" s="2" t="s">
        <v>1269</v>
      </c>
      <c r="D1824" s="45" t="s">
        <v>1442</v>
      </c>
      <c r="E1824" s="46"/>
      <c r="F1824" s="46"/>
      <c r="G1824" s="46"/>
      <c r="H1824" s="46"/>
      <c r="I1824" s="47"/>
    </row>
    <row r="1825" spans="2:9" ht="34.35" customHeight="1" x14ac:dyDescent="0.25">
      <c r="B1825" s="23"/>
      <c r="C1825" s="2" t="s">
        <v>1443</v>
      </c>
      <c r="D1825" s="45" t="s">
        <v>1444</v>
      </c>
      <c r="E1825" s="46"/>
      <c r="F1825" s="46"/>
      <c r="G1825" s="46"/>
      <c r="H1825" s="46"/>
      <c r="I1825" s="47"/>
    </row>
    <row r="1826" spans="2:9" x14ac:dyDescent="0.25">
      <c r="B1826" s="23"/>
      <c r="I1826" s="26"/>
    </row>
    <row r="1827" spans="2:9" x14ac:dyDescent="0.25">
      <c r="B1827" s="23"/>
      <c r="C1827" s="55" t="s">
        <v>60</v>
      </c>
      <c r="D1827" s="46"/>
      <c r="E1827" s="46"/>
      <c r="F1827" s="46"/>
      <c r="G1827" s="46"/>
      <c r="H1827" s="46"/>
      <c r="I1827" s="47"/>
    </row>
    <row r="1828" spans="2:9" x14ac:dyDescent="0.25">
      <c r="B1828" s="23"/>
      <c r="I1828" s="26"/>
    </row>
    <row r="1829" spans="2:9" ht="19.899999999999999" customHeight="1" x14ac:dyDescent="0.25">
      <c r="B1829" s="24" t="s">
        <v>1445</v>
      </c>
      <c r="C1829" s="18" t="s">
        <v>49</v>
      </c>
      <c r="D1829" s="52" t="s">
        <v>1446</v>
      </c>
      <c r="E1829" s="53"/>
      <c r="F1829" s="53"/>
      <c r="G1829" s="53"/>
      <c r="H1829" s="53"/>
      <c r="I1829" s="54"/>
    </row>
    <row r="1830" spans="2:9" ht="34.35" customHeight="1" x14ac:dyDescent="0.25">
      <c r="B1830" s="23"/>
      <c r="C1830" s="2" t="s">
        <v>1447</v>
      </c>
      <c r="D1830" s="45" t="s">
        <v>1448</v>
      </c>
      <c r="E1830" s="46"/>
      <c r="F1830" s="46"/>
      <c r="G1830" s="46"/>
      <c r="H1830" s="46"/>
      <c r="I1830" s="47"/>
    </row>
    <row r="1831" spans="2:9" ht="63.4" customHeight="1" x14ac:dyDescent="0.25">
      <c r="B1831" s="23"/>
      <c r="C1831" s="2" t="s">
        <v>1387</v>
      </c>
      <c r="D1831" s="45" t="s">
        <v>1449</v>
      </c>
      <c r="E1831" s="46"/>
      <c r="F1831" s="46"/>
      <c r="G1831" s="46"/>
      <c r="H1831" s="46"/>
      <c r="I1831" s="47"/>
    </row>
    <row r="1832" spans="2:9" ht="63.4" customHeight="1" x14ac:dyDescent="0.25">
      <c r="B1832" s="23"/>
      <c r="C1832" s="2" t="s">
        <v>1389</v>
      </c>
      <c r="D1832" s="45" t="s">
        <v>1450</v>
      </c>
      <c r="E1832" s="46"/>
      <c r="F1832" s="46"/>
      <c r="G1832" s="46"/>
      <c r="H1832" s="46"/>
      <c r="I1832" s="47"/>
    </row>
    <row r="1833" spans="2:9" ht="63.4" customHeight="1" x14ac:dyDescent="0.25">
      <c r="B1833" s="23"/>
      <c r="C1833" s="2" t="s">
        <v>1391</v>
      </c>
      <c r="D1833" s="45" t="s">
        <v>1451</v>
      </c>
      <c r="E1833" s="46"/>
      <c r="F1833" s="46"/>
      <c r="G1833" s="46"/>
      <c r="H1833" s="46"/>
      <c r="I1833" s="47"/>
    </row>
    <row r="1834" spans="2:9" ht="48.95" customHeight="1" x14ac:dyDescent="0.25">
      <c r="B1834" s="23"/>
      <c r="C1834" s="2" t="s">
        <v>1393</v>
      </c>
      <c r="D1834" s="45" t="s">
        <v>1452</v>
      </c>
      <c r="E1834" s="46"/>
      <c r="F1834" s="46"/>
      <c r="G1834" s="46"/>
      <c r="H1834" s="46"/>
      <c r="I1834" s="47"/>
    </row>
    <row r="1835" spans="2:9" ht="34.35" customHeight="1" x14ac:dyDescent="0.25">
      <c r="B1835" s="23"/>
      <c r="C1835" s="2" t="s">
        <v>1397</v>
      </c>
      <c r="D1835" s="45" t="s">
        <v>1453</v>
      </c>
      <c r="E1835" s="46"/>
      <c r="F1835" s="46"/>
      <c r="G1835" s="46"/>
      <c r="H1835" s="46"/>
      <c r="I1835" s="47"/>
    </row>
    <row r="1836" spans="2:9" ht="34.35" customHeight="1" x14ac:dyDescent="0.25">
      <c r="B1836" s="23"/>
      <c r="C1836" s="2" t="s">
        <v>1399</v>
      </c>
      <c r="D1836" s="45" t="s">
        <v>1454</v>
      </c>
      <c r="E1836" s="46"/>
      <c r="F1836" s="46"/>
      <c r="G1836" s="46"/>
      <c r="H1836" s="46"/>
      <c r="I1836" s="47"/>
    </row>
    <row r="1837" spans="2:9" ht="19.899999999999999" customHeight="1" x14ac:dyDescent="0.25">
      <c r="B1837" s="23"/>
      <c r="C1837" s="2" t="s">
        <v>1401</v>
      </c>
      <c r="D1837" s="45" t="s">
        <v>1455</v>
      </c>
      <c r="E1837" s="46"/>
      <c r="F1837" s="46"/>
      <c r="G1837" s="46"/>
      <c r="H1837" s="46"/>
      <c r="I1837" s="47"/>
    </row>
    <row r="1838" spans="2:9" ht="19.899999999999999" customHeight="1" x14ac:dyDescent="0.25">
      <c r="B1838" s="23"/>
      <c r="C1838" s="2" t="s">
        <v>1403</v>
      </c>
      <c r="D1838" s="45" t="s">
        <v>1456</v>
      </c>
      <c r="E1838" s="46"/>
      <c r="F1838" s="46"/>
      <c r="G1838" s="46"/>
      <c r="H1838" s="46"/>
      <c r="I1838" s="47"/>
    </row>
    <row r="1839" spans="2:9" ht="34.35" customHeight="1" x14ac:dyDescent="0.25">
      <c r="B1839" s="23"/>
      <c r="C1839" s="2" t="s">
        <v>1405</v>
      </c>
      <c r="D1839" s="45" t="s">
        <v>1457</v>
      </c>
      <c r="E1839" s="46"/>
      <c r="F1839" s="46"/>
      <c r="G1839" s="46"/>
      <c r="H1839" s="46"/>
      <c r="I1839" s="47"/>
    </row>
    <row r="1840" spans="2:9" ht="19.899999999999999" customHeight="1" x14ac:dyDescent="0.25">
      <c r="B1840" s="23"/>
      <c r="C1840" s="2" t="s">
        <v>1407</v>
      </c>
      <c r="D1840" s="45" t="s">
        <v>1458</v>
      </c>
      <c r="E1840" s="46"/>
      <c r="F1840" s="46"/>
      <c r="G1840" s="46"/>
      <c r="H1840" s="46"/>
      <c r="I1840" s="47"/>
    </row>
    <row r="1841" spans="2:9" ht="19.899999999999999" customHeight="1" x14ac:dyDescent="0.25">
      <c r="B1841" s="23"/>
      <c r="C1841" s="2" t="s">
        <v>1409</v>
      </c>
      <c r="D1841" s="45" t="s">
        <v>1459</v>
      </c>
      <c r="E1841" s="46"/>
      <c r="F1841" s="46"/>
      <c r="G1841" s="46"/>
      <c r="H1841" s="46"/>
      <c r="I1841" s="47"/>
    </row>
    <row r="1842" spans="2:9" ht="19.899999999999999" customHeight="1" x14ac:dyDescent="0.25">
      <c r="B1842" s="23"/>
      <c r="C1842" s="2" t="s">
        <v>1411</v>
      </c>
      <c r="D1842" s="45" t="s">
        <v>1460</v>
      </c>
      <c r="E1842" s="46"/>
      <c r="F1842" s="46"/>
      <c r="G1842" s="46"/>
      <c r="H1842" s="46"/>
      <c r="I1842" s="47"/>
    </row>
    <row r="1843" spans="2:9" ht="19.899999999999999" customHeight="1" x14ac:dyDescent="0.25">
      <c r="B1843" s="23"/>
      <c r="C1843" s="2" t="s">
        <v>1413</v>
      </c>
      <c r="D1843" s="45" t="s">
        <v>1461</v>
      </c>
      <c r="E1843" s="46"/>
      <c r="F1843" s="46"/>
      <c r="G1843" s="46"/>
      <c r="H1843" s="46"/>
      <c r="I1843" s="47"/>
    </row>
    <row r="1844" spans="2:9" x14ac:dyDescent="0.25">
      <c r="B1844" s="23"/>
      <c r="I1844" s="26"/>
    </row>
    <row r="1845" spans="2:9" x14ac:dyDescent="0.25">
      <c r="B1845" s="23"/>
      <c r="C1845" s="55" t="s">
        <v>60</v>
      </c>
      <c r="D1845" s="46"/>
      <c r="E1845" s="46"/>
      <c r="F1845" s="46"/>
      <c r="G1845" s="46"/>
      <c r="H1845" s="46"/>
      <c r="I1845" s="47"/>
    </row>
    <row r="1846" spans="2:9" x14ac:dyDescent="0.25">
      <c r="B1846" s="23"/>
      <c r="I1846" s="26"/>
    </row>
    <row r="1847" spans="2:9" ht="34.35" customHeight="1" x14ac:dyDescent="0.25">
      <c r="B1847" s="24" t="s">
        <v>1462</v>
      </c>
      <c r="C1847" s="18" t="s">
        <v>49</v>
      </c>
      <c r="D1847" s="52" t="s">
        <v>1463</v>
      </c>
      <c r="E1847" s="53"/>
      <c r="F1847" s="53"/>
      <c r="G1847" s="53"/>
      <c r="H1847" s="53"/>
      <c r="I1847" s="54"/>
    </row>
    <row r="1848" spans="2:9" ht="34.35" customHeight="1" x14ac:dyDescent="0.25">
      <c r="B1848" s="23"/>
      <c r="C1848" s="2" t="s">
        <v>1464</v>
      </c>
      <c r="D1848" s="45" t="s">
        <v>1465</v>
      </c>
      <c r="E1848" s="46"/>
      <c r="F1848" s="46"/>
      <c r="G1848" s="46"/>
      <c r="H1848" s="46"/>
      <c r="I1848" s="47"/>
    </row>
    <row r="1849" spans="2:9" ht="34.35" customHeight="1" x14ac:dyDescent="0.25">
      <c r="B1849" s="23"/>
      <c r="C1849" s="2" t="s">
        <v>1466</v>
      </c>
      <c r="D1849" s="45" t="s">
        <v>1467</v>
      </c>
      <c r="E1849" s="46"/>
      <c r="F1849" s="46"/>
      <c r="G1849" s="46"/>
      <c r="H1849" s="46"/>
      <c r="I1849" s="47"/>
    </row>
    <row r="1850" spans="2:9" ht="48.95" customHeight="1" x14ac:dyDescent="0.25">
      <c r="B1850" s="23"/>
      <c r="C1850" s="2" t="s">
        <v>1468</v>
      </c>
      <c r="D1850" s="45" t="s">
        <v>1469</v>
      </c>
      <c r="E1850" s="46"/>
      <c r="F1850" s="46"/>
      <c r="G1850" s="46"/>
      <c r="H1850" s="46"/>
      <c r="I1850" s="47"/>
    </row>
    <row r="1851" spans="2:9" ht="19.899999999999999" customHeight="1" x14ac:dyDescent="0.25">
      <c r="B1851" s="23"/>
      <c r="C1851" s="2" t="s">
        <v>289</v>
      </c>
      <c r="D1851" s="45" t="s">
        <v>1470</v>
      </c>
      <c r="E1851" s="46"/>
      <c r="F1851" s="46"/>
      <c r="G1851" s="46"/>
      <c r="H1851" s="46"/>
      <c r="I1851" s="47"/>
    </row>
    <row r="1852" spans="2:9" x14ac:dyDescent="0.25">
      <c r="B1852" s="23"/>
      <c r="I1852" s="26"/>
    </row>
    <row r="1853" spans="2:9" x14ac:dyDescent="0.25">
      <c r="B1853" s="23"/>
      <c r="C1853" s="55" t="s">
        <v>60</v>
      </c>
      <c r="D1853" s="46"/>
      <c r="E1853" s="46"/>
      <c r="F1853" s="46"/>
      <c r="G1853" s="46"/>
      <c r="H1853" s="46"/>
      <c r="I1853" s="47"/>
    </row>
    <row r="1854" spans="2:9" x14ac:dyDescent="0.25">
      <c r="B1854" s="23"/>
      <c r="I1854" s="26"/>
    </row>
    <row r="1855" spans="2:9" ht="34.35" customHeight="1" x14ac:dyDescent="0.25">
      <c r="B1855" s="24" t="s">
        <v>1471</v>
      </c>
      <c r="C1855" s="19" t="s">
        <v>220</v>
      </c>
      <c r="D1855" s="52" t="s">
        <v>1472</v>
      </c>
      <c r="E1855" s="53"/>
      <c r="F1855" s="53"/>
      <c r="G1855" s="53"/>
      <c r="H1855" s="53"/>
      <c r="I1855" s="54"/>
    </row>
    <row r="1856" spans="2:9" x14ac:dyDescent="0.25">
      <c r="B1856" s="23"/>
      <c r="C1856" s="2" t="s">
        <v>222</v>
      </c>
      <c r="I1856" s="26"/>
    </row>
    <row r="1857" spans="2:9" x14ac:dyDescent="0.25">
      <c r="B1857" s="23"/>
      <c r="I1857" s="26"/>
    </row>
    <row r="1858" spans="2:9" x14ac:dyDescent="0.25">
      <c r="B1858" s="23"/>
      <c r="C1858" s="55" t="s">
        <v>60</v>
      </c>
      <c r="D1858" s="46"/>
      <c r="E1858" s="46"/>
      <c r="F1858" s="46"/>
      <c r="G1858" s="46"/>
      <c r="H1858" s="46"/>
      <c r="I1858" s="47"/>
    </row>
    <row r="1859" spans="2:9" x14ac:dyDescent="0.25">
      <c r="B1859" s="23"/>
      <c r="I1859" s="26"/>
    </row>
    <row r="1860" spans="2:9" ht="19.899999999999999" customHeight="1" x14ac:dyDescent="0.25">
      <c r="B1860" s="24" t="s">
        <v>1473</v>
      </c>
      <c r="C1860" s="19" t="s">
        <v>220</v>
      </c>
      <c r="D1860" s="52" t="s">
        <v>1474</v>
      </c>
      <c r="E1860" s="53"/>
      <c r="F1860" s="53"/>
      <c r="G1860" s="53"/>
      <c r="H1860" s="53"/>
      <c r="I1860" s="54"/>
    </row>
    <row r="1861" spans="2:9" x14ac:dyDescent="0.25">
      <c r="B1861" s="23"/>
      <c r="C1861" s="2" t="s">
        <v>222</v>
      </c>
      <c r="I1861" s="26"/>
    </row>
    <row r="1862" spans="2:9" x14ac:dyDescent="0.25">
      <c r="B1862" s="23"/>
      <c r="I1862" s="26"/>
    </row>
    <row r="1863" spans="2:9" x14ac:dyDescent="0.25">
      <c r="B1863" s="23"/>
      <c r="C1863" s="55" t="s">
        <v>60</v>
      </c>
      <c r="D1863" s="46"/>
      <c r="E1863" s="46"/>
      <c r="F1863" s="46"/>
      <c r="G1863" s="46"/>
      <c r="H1863" s="46"/>
      <c r="I1863" s="47"/>
    </row>
    <row r="1864" spans="2:9" x14ac:dyDescent="0.25">
      <c r="B1864" s="23"/>
      <c r="I1864" s="26"/>
    </row>
    <row r="1865" spans="2:9" ht="19.899999999999999" customHeight="1" x14ac:dyDescent="0.25">
      <c r="B1865" s="24" t="s">
        <v>1475</v>
      </c>
      <c r="C1865" s="18" t="s">
        <v>49</v>
      </c>
      <c r="D1865" s="52" t="s">
        <v>1476</v>
      </c>
      <c r="E1865" s="53"/>
      <c r="F1865" s="53"/>
      <c r="G1865" s="53"/>
      <c r="H1865" s="53"/>
      <c r="I1865" s="54"/>
    </row>
    <row r="1866" spans="2:9" ht="19.899999999999999" customHeight="1" x14ac:dyDescent="0.25">
      <c r="B1866" s="23"/>
      <c r="C1866" s="2" t="s">
        <v>1477</v>
      </c>
      <c r="D1866" s="45" t="s">
        <v>1478</v>
      </c>
      <c r="E1866" s="46"/>
      <c r="F1866" s="46"/>
      <c r="G1866" s="46"/>
      <c r="H1866" s="46"/>
      <c r="I1866" s="47"/>
    </row>
    <row r="1867" spans="2:9" ht="34.35" customHeight="1" x14ac:dyDescent="0.25">
      <c r="B1867" s="23"/>
      <c r="C1867" s="2" t="s">
        <v>1479</v>
      </c>
      <c r="D1867" s="45" t="s">
        <v>1480</v>
      </c>
      <c r="E1867" s="46"/>
      <c r="F1867" s="46"/>
      <c r="G1867" s="46"/>
      <c r="H1867" s="46"/>
      <c r="I1867" s="47"/>
    </row>
    <row r="1868" spans="2:9" ht="19.899999999999999" customHeight="1" x14ac:dyDescent="0.25">
      <c r="B1868" s="23"/>
      <c r="C1868" s="2" t="s">
        <v>1481</v>
      </c>
      <c r="D1868" s="45" t="s">
        <v>1482</v>
      </c>
      <c r="E1868" s="46"/>
      <c r="F1868" s="46"/>
      <c r="G1868" s="46"/>
      <c r="H1868" s="46"/>
      <c r="I1868" s="47"/>
    </row>
    <row r="1869" spans="2:9" x14ac:dyDescent="0.25">
      <c r="B1869" s="23"/>
      <c r="I1869" s="26"/>
    </row>
    <row r="1870" spans="2:9" x14ac:dyDescent="0.25">
      <c r="B1870" s="23"/>
      <c r="C1870" s="55" t="s">
        <v>60</v>
      </c>
      <c r="D1870" s="46"/>
      <c r="E1870" s="46"/>
      <c r="F1870" s="46"/>
      <c r="G1870" s="46"/>
      <c r="H1870" s="46"/>
      <c r="I1870" s="47"/>
    </row>
    <row r="1871" spans="2:9" x14ac:dyDescent="0.25">
      <c r="B1871" s="23"/>
      <c r="I1871" s="26"/>
    </row>
    <row r="1872" spans="2:9" ht="34.35" customHeight="1" x14ac:dyDescent="0.25">
      <c r="B1872" s="24" t="s">
        <v>1483</v>
      </c>
      <c r="C1872" s="18" t="s">
        <v>49</v>
      </c>
      <c r="D1872" s="52" t="s">
        <v>1484</v>
      </c>
      <c r="E1872" s="53"/>
      <c r="F1872" s="53"/>
      <c r="G1872" s="53"/>
      <c r="H1872" s="53"/>
      <c r="I1872" s="54"/>
    </row>
    <row r="1873" spans="2:9" ht="34.35" customHeight="1" x14ac:dyDescent="0.25">
      <c r="B1873" s="23"/>
      <c r="C1873" s="2" t="s">
        <v>1485</v>
      </c>
      <c r="D1873" s="45" t="s">
        <v>1486</v>
      </c>
      <c r="E1873" s="46"/>
      <c r="F1873" s="46"/>
      <c r="G1873" s="46"/>
      <c r="H1873" s="46"/>
      <c r="I1873" s="47"/>
    </row>
    <row r="1874" spans="2:9" ht="34.35" customHeight="1" x14ac:dyDescent="0.25">
      <c r="B1874" s="23"/>
      <c r="C1874" s="2" t="s">
        <v>1487</v>
      </c>
      <c r="D1874" s="45" t="s">
        <v>1488</v>
      </c>
      <c r="E1874" s="46"/>
      <c r="F1874" s="46"/>
      <c r="G1874" s="46"/>
      <c r="H1874" s="46"/>
      <c r="I1874" s="47"/>
    </row>
    <row r="1875" spans="2:9" ht="48.95" customHeight="1" x14ac:dyDescent="0.25">
      <c r="B1875" s="23"/>
      <c r="C1875" s="2" t="s">
        <v>1489</v>
      </c>
      <c r="D1875" s="45" t="s">
        <v>1490</v>
      </c>
      <c r="E1875" s="46"/>
      <c r="F1875" s="46"/>
      <c r="G1875" s="46"/>
      <c r="H1875" s="46"/>
      <c r="I1875" s="47"/>
    </row>
    <row r="1876" spans="2:9" x14ac:dyDescent="0.25">
      <c r="B1876" s="23"/>
      <c r="I1876" s="26"/>
    </row>
    <row r="1877" spans="2:9" x14ac:dyDescent="0.25">
      <c r="B1877" s="23"/>
      <c r="C1877" s="55" t="s">
        <v>60</v>
      </c>
      <c r="D1877" s="46"/>
      <c r="E1877" s="46"/>
      <c r="F1877" s="46"/>
      <c r="G1877" s="46"/>
      <c r="H1877" s="46"/>
      <c r="I1877" s="47"/>
    </row>
    <row r="1878" spans="2:9" x14ac:dyDescent="0.25">
      <c r="B1878" s="23"/>
      <c r="I1878" s="26"/>
    </row>
    <row r="1879" spans="2:9" ht="19.899999999999999" customHeight="1" x14ac:dyDescent="0.25">
      <c r="B1879" s="24" t="s">
        <v>1491</v>
      </c>
      <c r="C1879" s="18" t="s">
        <v>49</v>
      </c>
      <c r="D1879" s="52" t="s">
        <v>1492</v>
      </c>
      <c r="E1879" s="53"/>
      <c r="F1879" s="53"/>
      <c r="G1879" s="53"/>
      <c r="H1879" s="53"/>
      <c r="I1879" s="54"/>
    </row>
    <row r="1880" spans="2:9" ht="48.95" customHeight="1" x14ac:dyDescent="0.25">
      <c r="B1880" s="23"/>
      <c r="C1880" s="2" t="s">
        <v>1493</v>
      </c>
      <c r="D1880" s="45" t="s">
        <v>1494</v>
      </c>
      <c r="E1880" s="46"/>
      <c r="F1880" s="46"/>
      <c r="G1880" s="46"/>
      <c r="H1880" s="46"/>
      <c r="I1880" s="47"/>
    </row>
    <row r="1881" spans="2:9" ht="48.95" customHeight="1" x14ac:dyDescent="0.25">
      <c r="B1881" s="23"/>
      <c r="C1881" s="2" t="s">
        <v>1495</v>
      </c>
      <c r="D1881" s="45" t="s">
        <v>1496</v>
      </c>
      <c r="E1881" s="46"/>
      <c r="F1881" s="46"/>
      <c r="G1881" s="46"/>
      <c r="H1881" s="46"/>
      <c r="I1881" s="47"/>
    </row>
    <row r="1882" spans="2:9" ht="34.35" customHeight="1" x14ac:dyDescent="0.25">
      <c r="B1882" s="23"/>
      <c r="C1882" s="2" t="s">
        <v>1393</v>
      </c>
      <c r="D1882" s="45" t="s">
        <v>1497</v>
      </c>
      <c r="E1882" s="46"/>
      <c r="F1882" s="46"/>
      <c r="G1882" s="46"/>
      <c r="H1882" s="46"/>
      <c r="I1882" s="47"/>
    </row>
    <row r="1883" spans="2:9" ht="48.95" customHeight="1" x14ac:dyDescent="0.25">
      <c r="B1883" s="23"/>
      <c r="C1883" s="2" t="s">
        <v>1498</v>
      </c>
      <c r="D1883" s="45" t="s">
        <v>1499</v>
      </c>
      <c r="E1883" s="46"/>
      <c r="F1883" s="46"/>
      <c r="G1883" s="46"/>
      <c r="H1883" s="46"/>
      <c r="I1883" s="47"/>
    </row>
    <row r="1884" spans="2:9" ht="48.95" customHeight="1" x14ac:dyDescent="0.25">
      <c r="B1884" s="23"/>
      <c r="C1884" s="2" t="s">
        <v>1447</v>
      </c>
      <c r="D1884" s="45" t="s">
        <v>1500</v>
      </c>
      <c r="E1884" s="46"/>
      <c r="F1884" s="46"/>
      <c r="G1884" s="46"/>
      <c r="H1884" s="46"/>
      <c r="I1884" s="47"/>
    </row>
    <row r="1885" spans="2:9" ht="48.95" customHeight="1" x14ac:dyDescent="0.25">
      <c r="B1885" s="23"/>
      <c r="C1885" s="2" t="s">
        <v>1501</v>
      </c>
      <c r="D1885" s="45" t="s">
        <v>1502</v>
      </c>
      <c r="E1885" s="46"/>
      <c r="F1885" s="46"/>
      <c r="G1885" s="46"/>
      <c r="H1885" s="46"/>
      <c r="I1885" s="47"/>
    </row>
    <row r="1886" spans="2:9" ht="34.35" customHeight="1" x14ac:dyDescent="0.25">
      <c r="B1886" s="23"/>
      <c r="C1886" s="2" t="s">
        <v>1405</v>
      </c>
      <c r="D1886" s="45" t="s">
        <v>1503</v>
      </c>
      <c r="E1886" s="46"/>
      <c r="F1886" s="46"/>
      <c r="G1886" s="46"/>
      <c r="H1886" s="46"/>
      <c r="I1886" s="47"/>
    </row>
    <row r="1887" spans="2:9" ht="19.899999999999999" customHeight="1" x14ac:dyDescent="0.25">
      <c r="B1887" s="23"/>
      <c r="C1887" s="2" t="s">
        <v>1504</v>
      </c>
      <c r="D1887" s="45" t="s">
        <v>1505</v>
      </c>
      <c r="E1887" s="46"/>
      <c r="F1887" s="46"/>
      <c r="G1887" s="46"/>
      <c r="H1887" s="46"/>
      <c r="I1887" s="47"/>
    </row>
    <row r="1888" spans="2:9" ht="19.899999999999999" customHeight="1" x14ac:dyDescent="0.25">
      <c r="B1888" s="23"/>
      <c r="C1888" s="2" t="s">
        <v>1489</v>
      </c>
      <c r="D1888" s="45" t="s">
        <v>1506</v>
      </c>
      <c r="E1888" s="46"/>
      <c r="F1888" s="46"/>
      <c r="G1888" s="46"/>
      <c r="H1888" s="46"/>
      <c r="I1888" s="47"/>
    </row>
    <row r="1889" spans="2:10" ht="19.899999999999999" customHeight="1" x14ac:dyDescent="0.25">
      <c r="B1889" s="23"/>
      <c r="C1889" s="2" t="s">
        <v>1507</v>
      </c>
      <c r="D1889" s="45" t="s">
        <v>1508</v>
      </c>
      <c r="E1889" s="46"/>
      <c r="F1889" s="46"/>
      <c r="G1889" s="46"/>
      <c r="H1889" s="46"/>
      <c r="I1889" s="47"/>
    </row>
    <row r="1890" spans="2:10" ht="19.899999999999999" customHeight="1" x14ac:dyDescent="0.25">
      <c r="B1890" s="23"/>
      <c r="C1890" s="2" t="s">
        <v>1413</v>
      </c>
      <c r="D1890" s="45" t="s">
        <v>1509</v>
      </c>
      <c r="E1890" s="46"/>
      <c r="F1890" s="46"/>
      <c r="G1890" s="46"/>
      <c r="H1890" s="46"/>
      <c r="I1890" s="47"/>
    </row>
    <row r="1891" spans="2:10" x14ac:dyDescent="0.25">
      <c r="B1891" s="23"/>
      <c r="I1891" s="26"/>
    </row>
    <row r="1892" spans="2:10" x14ac:dyDescent="0.25">
      <c r="B1892" s="23"/>
      <c r="C1892" s="55" t="s">
        <v>60</v>
      </c>
      <c r="D1892" s="46"/>
      <c r="E1892" s="46"/>
      <c r="F1892" s="46"/>
      <c r="G1892" s="46"/>
      <c r="H1892" s="46"/>
      <c r="I1892" s="47"/>
    </row>
    <row r="1893" spans="2:10" x14ac:dyDescent="0.25">
      <c r="B1893" s="23"/>
      <c r="I1893" s="26"/>
    </row>
    <row r="1894" spans="2:10" ht="19.899999999999999" customHeight="1" x14ac:dyDescent="0.25">
      <c r="B1894" s="24" t="s">
        <v>1510</v>
      </c>
      <c r="C1894" s="18" t="s">
        <v>49</v>
      </c>
      <c r="D1894" s="52" t="s">
        <v>1511</v>
      </c>
      <c r="E1894" s="53"/>
      <c r="F1894" s="53"/>
      <c r="G1894" s="53"/>
      <c r="H1894" s="53"/>
      <c r="I1894" s="54"/>
      <c r="J1894" s="17" t="str">
        <f>HYPERLINK("#'Ändringshistorik'!C221", "Ändringshistorik: [132]")</f>
        <v>Ändringshistorik: [132]</v>
      </c>
    </row>
    <row r="1895" spans="2:10" ht="19.899999999999999" customHeight="1" x14ac:dyDescent="0.25">
      <c r="B1895" s="23"/>
      <c r="C1895" s="2" t="s">
        <v>1393</v>
      </c>
      <c r="D1895" s="45" t="s">
        <v>1512</v>
      </c>
      <c r="E1895" s="46"/>
      <c r="F1895" s="46"/>
      <c r="G1895" s="46"/>
      <c r="H1895" s="46"/>
      <c r="I1895" s="47"/>
    </row>
    <row r="1896" spans="2:10" ht="48.95" customHeight="1" x14ac:dyDescent="0.25">
      <c r="B1896" s="23"/>
      <c r="C1896" s="2" t="s">
        <v>1498</v>
      </c>
      <c r="D1896" s="45" t="s">
        <v>1513</v>
      </c>
      <c r="E1896" s="46"/>
      <c r="F1896" s="46"/>
      <c r="G1896" s="46"/>
      <c r="H1896" s="46"/>
      <c r="I1896" s="47"/>
    </row>
    <row r="1897" spans="2:10" ht="34.35" customHeight="1" x14ac:dyDescent="0.25">
      <c r="B1897" s="23"/>
      <c r="C1897" s="2" t="s">
        <v>1514</v>
      </c>
      <c r="D1897" s="45" t="s">
        <v>1515</v>
      </c>
      <c r="E1897" s="46"/>
      <c r="F1897" s="46"/>
      <c r="G1897" s="46"/>
      <c r="H1897" s="46"/>
      <c r="I1897" s="47"/>
    </row>
    <row r="1898" spans="2:10" ht="19.899999999999999" customHeight="1" x14ac:dyDescent="0.25">
      <c r="B1898" s="23"/>
      <c r="C1898" s="2" t="s">
        <v>1395</v>
      </c>
      <c r="D1898" s="45" t="s">
        <v>1516</v>
      </c>
      <c r="E1898" s="46"/>
      <c r="F1898" s="46"/>
      <c r="G1898" s="46"/>
      <c r="H1898" s="46"/>
      <c r="I1898" s="47"/>
    </row>
    <row r="1899" spans="2:10" ht="34.35" customHeight="1" x14ac:dyDescent="0.25">
      <c r="B1899" s="23"/>
      <c r="C1899" s="2" t="s">
        <v>1517</v>
      </c>
      <c r="D1899" s="45" t="s">
        <v>1518</v>
      </c>
      <c r="E1899" s="46"/>
      <c r="F1899" s="46"/>
      <c r="G1899" s="46"/>
      <c r="H1899" s="46"/>
      <c r="I1899" s="47"/>
    </row>
    <row r="1900" spans="2:10" x14ac:dyDescent="0.25">
      <c r="B1900" s="23"/>
      <c r="I1900" s="26"/>
    </row>
    <row r="1901" spans="2:10" x14ac:dyDescent="0.25">
      <c r="B1901" s="23"/>
      <c r="C1901" s="55" t="s">
        <v>60</v>
      </c>
      <c r="D1901" s="46"/>
      <c r="E1901" s="46"/>
      <c r="F1901" s="46"/>
      <c r="G1901" s="46"/>
      <c r="H1901" s="46"/>
      <c r="I1901" s="47"/>
    </row>
    <row r="1902" spans="2:10" x14ac:dyDescent="0.25">
      <c r="B1902" s="23"/>
      <c r="I1902" s="26"/>
    </row>
    <row r="1903" spans="2:10" ht="34.35" customHeight="1" x14ac:dyDescent="0.25">
      <c r="B1903" s="24" t="s">
        <v>1519</v>
      </c>
      <c r="C1903" s="18" t="s">
        <v>49</v>
      </c>
      <c r="D1903" s="52" t="s">
        <v>1520</v>
      </c>
      <c r="E1903" s="53"/>
      <c r="F1903" s="53"/>
      <c r="G1903" s="53"/>
      <c r="H1903" s="53"/>
      <c r="I1903" s="54"/>
    </row>
    <row r="1904" spans="2:10" ht="19.899999999999999" customHeight="1" x14ac:dyDescent="0.25">
      <c r="B1904" s="23"/>
      <c r="C1904" s="2" t="s">
        <v>1521</v>
      </c>
      <c r="D1904" s="45" t="s">
        <v>1155</v>
      </c>
      <c r="E1904" s="46"/>
      <c r="F1904" s="46"/>
      <c r="G1904" s="46"/>
      <c r="H1904" s="46"/>
      <c r="I1904" s="47"/>
    </row>
    <row r="1905" spans="2:9" ht="19.899999999999999" customHeight="1" x14ac:dyDescent="0.25">
      <c r="B1905" s="23"/>
      <c r="C1905" s="2" t="s">
        <v>1522</v>
      </c>
      <c r="D1905" s="45" t="s">
        <v>1157</v>
      </c>
      <c r="E1905" s="46"/>
      <c r="F1905" s="46"/>
      <c r="G1905" s="46"/>
      <c r="H1905" s="46"/>
      <c r="I1905" s="47"/>
    </row>
    <row r="1906" spans="2:9" ht="19.899999999999999" customHeight="1" x14ac:dyDescent="0.25">
      <c r="B1906" s="23"/>
      <c r="C1906" s="2" t="s">
        <v>1523</v>
      </c>
      <c r="D1906" s="45" t="s">
        <v>1159</v>
      </c>
      <c r="E1906" s="46"/>
      <c r="F1906" s="46"/>
      <c r="G1906" s="46"/>
      <c r="H1906" s="46"/>
      <c r="I1906" s="47"/>
    </row>
    <row r="1907" spans="2:9" ht="19.899999999999999" customHeight="1" x14ac:dyDescent="0.25">
      <c r="B1907" s="23"/>
      <c r="C1907" s="2" t="s">
        <v>1524</v>
      </c>
      <c r="D1907" s="45" t="s">
        <v>1161</v>
      </c>
      <c r="E1907" s="46"/>
      <c r="F1907" s="46"/>
      <c r="G1907" s="46"/>
      <c r="H1907" s="46"/>
      <c r="I1907" s="47"/>
    </row>
    <row r="1908" spans="2:9" ht="19.899999999999999" customHeight="1" x14ac:dyDescent="0.25">
      <c r="B1908" s="23"/>
      <c r="C1908" s="2" t="s">
        <v>1525</v>
      </c>
      <c r="D1908" s="45" t="s">
        <v>1163</v>
      </c>
      <c r="E1908" s="46"/>
      <c r="F1908" s="46"/>
      <c r="G1908" s="46"/>
      <c r="H1908" s="46"/>
      <c r="I1908" s="47"/>
    </row>
    <row r="1909" spans="2:9" ht="19.899999999999999" customHeight="1" x14ac:dyDescent="0.25">
      <c r="B1909" s="23"/>
      <c r="C1909" s="2" t="s">
        <v>1526</v>
      </c>
      <c r="D1909" s="45" t="s">
        <v>1527</v>
      </c>
      <c r="E1909" s="46"/>
      <c r="F1909" s="46"/>
      <c r="G1909" s="46"/>
      <c r="H1909" s="46"/>
      <c r="I1909" s="47"/>
    </row>
    <row r="1910" spans="2:9" ht="19.899999999999999" customHeight="1" x14ac:dyDescent="0.25">
      <c r="B1910" s="23"/>
      <c r="C1910" s="2" t="s">
        <v>1528</v>
      </c>
      <c r="D1910" s="45" t="s">
        <v>1529</v>
      </c>
      <c r="E1910" s="46"/>
      <c r="F1910" s="46"/>
      <c r="G1910" s="46"/>
      <c r="H1910" s="46"/>
      <c r="I1910" s="47"/>
    </row>
    <row r="1911" spans="2:9" ht="19.899999999999999" customHeight="1" x14ac:dyDescent="0.25">
      <c r="B1911" s="23"/>
      <c r="C1911" s="2" t="s">
        <v>1530</v>
      </c>
      <c r="D1911" s="45" t="s">
        <v>1531</v>
      </c>
      <c r="E1911" s="46"/>
      <c r="F1911" s="46"/>
      <c r="G1911" s="46"/>
      <c r="H1911" s="46"/>
      <c r="I1911" s="47"/>
    </row>
    <row r="1912" spans="2:9" ht="19.899999999999999" customHeight="1" x14ac:dyDescent="0.25">
      <c r="B1912" s="23"/>
      <c r="C1912" s="2" t="s">
        <v>1532</v>
      </c>
      <c r="D1912" s="45" t="s">
        <v>1533</v>
      </c>
      <c r="E1912" s="46"/>
      <c r="F1912" s="46"/>
      <c r="G1912" s="46"/>
      <c r="H1912" s="46"/>
      <c r="I1912" s="47"/>
    </row>
    <row r="1913" spans="2:9" ht="19.899999999999999" customHeight="1" x14ac:dyDescent="0.25">
      <c r="B1913" s="23"/>
      <c r="C1913" s="2" t="s">
        <v>1534</v>
      </c>
      <c r="D1913" s="45" t="s">
        <v>1535</v>
      </c>
      <c r="E1913" s="46"/>
      <c r="F1913" s="46"/>
      <c r="G1913" s="46"/>
      <c r="H1913" s="46"/>
      <c r="I1913" s="47"/>
    </row>
    <row r="1914" spans="2:9" x14ac:dyDescent="0.25">
      <c r="B1914" s="23"/>
      <c r="I1914" s="26"/>
    </row>
    <row r="1915" spans="2:9" x14ac:dyDescent="0.25">
      <c r="B1915" s="23"/>
      <c r="C1915" s="55" t="s">
        <v>60</v>
      </c>
      <c r="D1915" s="46"/>
      <c r="E1915" s="46"/>
      <c r="F1915" s="46"/>
      <c r="G1915" s="46"/>
      <c r="H1915" s="46"/>
      <c r="I1915" s="47"/>
    </row>
    <row r="1916" spans="2:9" x14ac:dyDescent="0.25">
      <c r="B1916" s="23"/>
      <c r="I1916" s="26"/>
    </row>
    <row r="1917" spans="2:9" ht="63.4" customHeight="1" x14ac:dyDescent="0.25">
      <c r="B1917" s="24" t="s">
        <v>1536</v>
      </c>
      <c r="C1917" s="18" t="s">
        <v>49</v>
      </c>
      <c r="D1917" s="52" t="s">
        <v>1537</v>
      </c>
      <c r="E1917" s="53"/>
      <c r="F1917" s="53"/>
      <c r="G1917" s="53"/>
      <c r="H1917" s="53"/>
      <c r="I1917" s="54"/>
    </row>
    <row r="1918" spans="2:9" ht="19.899999999999999" customHeight="1" x14ac:dyDescent="0.25">
      <c r="B1918" s="23"/>
      <c r="C1918" s="2" t="s">
        <v>1538</v>
      </c>
      <c r="D1918" s="45" t="s">
        <v>1539</v>
      </c>
      <c r="E1918" s="46"/>
      <c r="F1918" s="46"/>
      <c r="G1918" s="46"/>
      <c r="H1918" s="46"/>
      <c r="I1918" s="47"/>
    </row>
    <row r="1919" spans="2:9" ht="19.899999999999999" customHeight="1" x14ac:dyDescent="0.25">
      <c r="B1919" s="23"/>
      <c r="C1919" s="2" t="s">
        <v>1540</v>
      </c>
      <c r="D1919" s="45" t="s">
        <v>1541</v>
      </c>
      <c r="E1919" s="46"/>
      <c r="F1919" s="46"/>
      <c r="G1919" s="46"/>
      <c r="H1919" s="46"/>
      <c r="I1919" s="47"/>
    </row>
    <row r="1920" spans="2:9" ht="19.899999999999999" customHeight="1" x14ac:dyDescent="0.25">
      <c r="B1920" s="23"/>
      <c r="C1920" s="2" t="s">
        <v>1542</v>
      </c>
      <c r="D1920" s="45" t="s">
        <v>1543</v>
      </c>
      <c r="E1920" s="46"/>
      <c r="F1920" s="46"/>
      <c r="G1920" s="46"/>
      <c r="H1920" s="46"/>
      <c r="I1920" s="47"/>
    </row>
    <row r="1921" spans="2:9" x14ac:dyDescent="0.25">
      <c r="B1921" s="23"/>
      <c r="I1921" s="26"/>
    </row>
    <row r="1922" spans="2:9" x14ac:dyDescent="0.25">
      <c r="B1922" s="23"/>
      <c r="C1922" s="55" t="s">
        <v>60</v>
      </c>
      <c r="D1922" s="46"/>
      <c r="E1922" s="46"/>
      <c r="F1922" s="46"/>
      <c r="G1922" s="46"/>
      <c r="H1922" s="46"/>
      <c r="I1922" s="47"/>
    </row>
    <row r="1923" spans="2:9" x14ac:dyDescent="0.25">
      <c r="B1923" s="23"/>
      <c r="I1923" s="26"/>
    </row>
    <row r="1924" spans="2:9" ht="19.899999999999999" customHeight="1" x14ac:dyDescent="0.25">
      <c r="B1924" s="24" t="s">
        <v>1544</v>
      </c>
      <c r="C1924" s="18" t="s">
        <v>49</v>
      </c>
      <c r="D1924" s="52" t="s">
        <v>1545</v>
      </c>
      <c r="E1924" s="53"/>
      <c r="F1924" s="53"/>
      <c r="G1924" s="53"/>
      <c r="H1924" s="53"/>
      <c r="I1924" s="54"/>
    </row>
    <row r="1925" spans="2:9" ht="19.899999999999999" customHeight="1" x14ac:dyDescent="0.25">
      <c r="B1925" s="23"/>
      <c r="C1925" s="2" t="s">
        <v>1546</v>
      </c>
      <c r="D1925" s="45" t="s">
        <v>1547</v>
      </c>
      <c r="E1925" s="46"/>
      <c r="F1925" s="46"/>
      <c r="G1925" s="46"/>
      <c r="H1925" s="46"/>
      <c r="I1925" s="47"/>
    </row>
    <row r="1926" spans="2:9" ht="19.899999999999999" customHeight="1" x14ac:dyDescent="0.25">
      <c r="B1926" s="23"/>
      <c r="C1926" s="2" t="s">
        <v>1548</v>
      </c>
      <c r="D1926" s="45" t="s">
        <v>1549</v>
      </c>
      <c r="E1926" s="46"/>
      <c r="F1926" s="46"/>
      <c r="G1926" s="46"/>
      <c r="H1926" s="46"/>
      <c r="I1926" s="47"/>
    </row>
    <row r="1927" spans="2:9" ht="19.899999999999999" customHeight="1" x14ac:dyDescent="0.25">
      <c r="B1927" s="23"/>
      <c r="C1927" s="2" t="s">
        <v>1550</v>
      </c>
      <c r="D1927" s="45" t="s">
        <v>1551</v>
      </c>
      <c r="E1927" s="46"/>
      <c r="F1927" s="46"/>
      <c r="G1927" s="46"/>
      <c r="H1927" s="46"/>
      <c r="I1927" s="47"/>
    </row>
    <row r="1928" spans="2:9" ht="19.899999999999999" customHeight="1" x14ac:dyDescent="0.25">
      <c r="B1928" s="23"/>
      <c r="C1928" s="2" t="s">
        <v>1552</v>
      </c>
      <c r="D1928" s="45" t="s">
        <v>1553</v>
      </c>
      <c r="E1928" s="46"/>
      <c r="F1928" s="46"/>
      <c r="G1928" s="46"/>
      <c r="H1928" s="46"/>
      <c r="I1928" s="47"/>
    </row>
    <row r="1929" spans="2:9" ht="19.899999999999999" customHeight="1" x14ac:dyDescent="0.25">
      <c r="B1929" s="23"/>
      <c r="C1929" s="2" t="s">
        <v>1554</v>
      </c>
      <c r="D1929" s="45" t="s">
        <v>1555</v>
      </c>
      <c r="E1929" s="46"/>
      <c r="F1929" s="46"/>
      <c r="G1929" s="46"/>
      <c r="H1929" s="46"/>
      <c r="I1929" s="47"/>
    </row>
    <row r="1930" spans="2:9" ht="19.899999999999999" customHeight="1" x14ac:dyDescent="0.25">
      <c r="B1930" s="23"/>
      <c r="C1930" s="2" t="s">
        <v>1556</v>
      </c>
      <c r="D1930" s="45" t="s">
        <v>1557</v>
      </c>
      <c r="E1930" s="46"/>
      <c r="F1930" s="46"/>
      <c r="G1930" s="46"/>
      <c r="H1930" s="46"/>
      <c r="I1930" s="47"/>
    </row>
    <row r="1931" spans="2:9" ht="19.899999999999999" customHeight="1" x14ac:dyDescent="0.25">
      <c r="B1931" s="23"/>
      <c r="C1931" s="2" t="s">
        <v>1558</v>
      </c>
      <c r="D1931" s="45" t="s">
        <v>1559</v>
      </c>
      <c r="E1931" s="46"/>
      <c r="F1931" s="46"/>
      <c r="G1931" s="46"/>
      <c r="H1931" s="46"/>
      <c r="I1931" s="47"/>
    </row>
    <row r="1932" spans="2:9" ht="19.899999999999999" customHeight="1" x14ac:dyDescent="0.25">
      <c r="B1932" s="23"/>
      <c r="C1932" s="2" t="s">
        <v>1560</v>
      </c>
      <c r="D1932" s="45" t="s">
        <v>1561</v>
      </c>
      <c r="E1932" s="46"/>
      <c r="F1932" s="46"/>
      <c r="G1932" s="46"/>
      <c r="H1932" s="46"/>
      <c r="I1932" s="47"/>
    </row>
    <row r="1933" spans="2:9" ht="19.899999999999999" customHeight="1" x14ac:dyDescent="0.25">
      <c r="B1933" s="23"/>
      <c r="C1933" s="2" t="s">
        <v>1562</v>
      </c>
      <c r="D1933" s="45" t="s">
        <v>1563</v>
      </c>
      <c r="E1933" s="46"/>
      <c r="F1933" s="46"/>
      <c r="G1933" s="46"/>
      <c r="H1933" s="46"/>
      <c r="I1933" s="47"/>
    </row>
    <row r="1934" spans="2:9" x14ac:dyDescent="0.25">
      <c r="B1934" s="23"/>
      <c r="I1934" s="26"/>
    </row>
    <row r="1935" spans="2:9" x14ac:dyDescent="0.25">
      <c r="B1935" s="23"/>
      <c r="C1935" s="55" t="s">
        <v>60</v>
      </c>
      <c r="D1935" s="46"/>
      <c r="E1935" s="46"/>
      <c r="F1935" s="46"/>
      <c r="G1935" s="46"/>
      <c r="H1935" s="46"/>
      <c r="I1935" s="47"/>
    </row>
    <row r="1936" spans="2:9" x14ac:dyDescent="0.25">
      <c r="B1936" s="23"/>
      <c r="I1936" s="26"/>
    </row>
    <row r="1937" spans="2:10" ht="19.899999999999999" customHeight="1" x14ac:dyDescent="0.25">
      <c r="B1937" s="24" t="s">
        <v>1085</v>
      </c>
      <c r="C1937" s="19" t="s">
        <v>220</v>
      </c>
      <c r="D1937" s="52" t="s">
        <v>1564</v>
      </c>
      <c r="E1937" s="53"/>
      <c r="F1937" s="53"/>
      <c r="G1937" s="53"/>
      <c r="H1937" s="53"/>
      <c r="I1937" s="54"/>
    </row>
    <row r="1938" spans="2:10" x14ac:dyDescent="0.25">
      <c r="B1938" s="23"/>
      <c r="C1938" s="2" t="s">
        <v>222</v>
      </c>
      <c r="I1938" s="26"/>
    </row>
    <row r="1939" spans="2:10" x14ac:dyDescent="0.25">
      <c r="B1939" s="23"/>
      <c r="I1939" s="26"/>
    </row>
    <row r="1940" spans="2:10" x14ac:dyDescent="0.25">
      <c r="B1940" s="23"/>
      <c r="C1940" s="51" t="s">
        <v>55</v>
      </c>
      <c r="D1940" s="46"/>
      <c r="E1940" s="46"/>
      <c r="F1940" s="46"/>
      <c r="G1940" s="46"/>
      <c r="H1940" s="46"/>
      <c r="I1940" s="47"/>
    </row>
    <row r="1941" spans="2:10" x14ac:dyDescent="0.25">
      <c r="B1941" s="25"/>
      <c r="C1941" s="21"/>
      <c r="D1941" s="21"/>
      <c r="E1941" s="21"/>
      <c r="F1941" s="21"/>
      <c r="G1941" s="21"/>
      <c r="H1941" s="21"/>
      <c r="I1941" s="27"/>
    </row>
    <row r="1943" spans="2:10" x14ac:dyDescent="0.25">
      <c r="B1943" s="3" t="s">
        <v>82</v>
      </c>
    </row>
    <row r="1944" spans="2:10" ht="19.899999999999999" customHeight="1" x14ac:dyDescent="0.25">
      <c r="B1944" s="29" t="s">
        <v>1565</v>
      </c>
      <c r="C1944" s="42" t="s">
        <v>1566</v>
      </c>
      <c r="D1944" s="43"/>
      <c r="E1944" s="43"/>
      <c r="F1944" s="43"/>
      <c r="G1944" s="43"/>
      <c r="H1944" s="43"/>
      <c r="I1944" s="44"/>
    </row>
    <row r="1945" spans="2:10" ht="19.899999999999999" customHeight="1" x14ac:dyDescent="0.25">
      <c r="B1945" s="30" t="s">
        <v>1567</v>
      </c>
      <c r="C1945" s="52" t="s">
        <v>1310</v>
      </c>
      <c r="D1945" s="53"/>
      <c r="E1945" s="46"/>
      <c r="F1945" s="46"/>
      <c r="G1945" s="46"/>
      <c r="H1945" s="46"/>
      <c r="I1945" s="47"/>
    </row>
    <row r="1946" spans="2:10" ht="19.899999999999999" customHeight="1" x14ac:dyDescent="0.25">
      <c r="B1946" s="30" t="s">
        <v>1568</v>
      </c>
      <c r="C1946" s="52" t="s">
        <v>1118</v>
      </c>
      <c r="D1946" s="53"/>
      <c r="E1946" s="46"/>
      <c r="F1946" s="46"/>
      <c r="G1946" s="46"/>
      <c r="H1946" s="46"/>
      <c r="I1946" s="47"/>
    </row>
    <row r="1947" spans="2:10" ht="19.899999999999999" customHeight="1" x14ac:dyDescent="0.25">
      <c r="B1947" s="30" t="s">
        <v>1569</v>
      </c>
      <c r="C1947" s="52" t="s">
        <v>1570</v>
      </c>
      <c r="D1947" s="53"/>
      <c r="E1947" s="46"/>
      <c r="F1947" s="46"/>
      <c r="G1947" s="46"/>
      <c r="H1947" s="46"/>
      <c r="I1947" s="47"/>
      <c r="J1947" s="17" t="str">
        <f>HYPERLINK("#'Ändringshistorik'!C284", "Ändringshistorik: [42]")</f>
        <v>Ändringshistorik: [42]</v>
      </c>
    </row>
    <row r="1948" spans="2:10" ht="19.899999999999999" customHeight="1" x14ac:dyDescent="0.25">
      <c r="B1948" s="30" t="s">
        <v>1571</v>
      </c>
      <c r="C1948" s="52" t="s">
        <v>1572</v>
      </c>
      <c r="D1948" s="53"/>
      <c r="E1948" s="46"/>
      <c r="F1948" s="46"/>
      <c r="G1948" s="46"/>
      <c r="H1948" s="46"/>
      <c r="I1948" s="47"/>
      <c r="J1948" s="17" t="str">
        <f>HYPERLINK("#'Ändringshistorik'!C285", "Ändringshistorik: [43]")</f>
        <v>Ändringshistorik: [43]</v>
      </c>
    </row>
    <row r="1949" spans="2:10" ht="34.35" customHeight="1" x14ac:dyDescent="0.25">
      <c r="B1949" s="30" t="s">
        <v>1573</v>
      </c>
      <c r="C1949" s="52" t="s">
        <v>1574</v>
      </c>
      <c r="D1949" s="53"/>
      <c r="E1949" s="46"/>
      <c r="F1949" s="46"/>
      <c r="G1949" s="46"/>
      <c r="H1949" s="46"/>
      <c r="I1949" s="47"/>
      <c r="J1949" s="17" t="str">
        <f>HYPERLINK("#'Ändringshistorik'!C286", "Ändringshistorik: [44]")</f>
        <v>Ändringshistorik: [44]</v>
      </c>
    </row>
    <row r="1950" spans="2:10" ht="19.899999999999999" customHeight="1" x14ac:dyDescent="0.25">
      <c r="B1950" s="30" t="s">
        <v>1575</v>
      </c>
      <c r="C1950" s="52" t="s">
        <v>1576</v>
      </c>
      <c r="D1950" s="53"/>
      <c r="E1950" s="46"/>
      <c r="F1950" s="46"/>
      <c r="G1950" s="46"/>
      <c r="H1950" s="46"/>
      <c r="I1950" s="47"/>
      <c r="J1950" s="17" t="str">
        <f>HYPERLINK("#'Ändringshistorik'!C287", "Ändringshistorik: [45]")</f>
        <v>Ändringshistorik: [45]</v>
      </c>
    </row>
    <row r="1951" spans="2:10" ht="19.899999999999999" customHeight="1" x14ac:dyDescent="0.25">
      <c r="B1951" s="30" t="s">
        <v>1577</v>
      </c>
      <c r="C1951" s="52" t="s">
        <v>1578</v>
      </c>
      <c r="D1951" s="53"/>
      <c r="E1951" s="46"/>
      <c r="F1951" s="46"/>
      <c r="G1951" s="46"/>
      <c r="H1951" s="46"/>
      <c r="I1951" s="47"/>
      <c r="J1951" s="17" t="str">
        <f>HYPERLINK("#'Ändringshistorik'!C288", "Ändringshistorik: [46]")</f>
        <v>Ändringshistorik: [46]</v>
      </c>
    </row>
    <row r="1952" spans="2:10" ht="19.899999999999999" customHeight="1" x14ac:dyDescent="0.25">
      <c r="B1952" s="30" t="s">
        <v>1579</v>
      </c>
      <c r="C1952" s="52" t="s">
        <v>1369</v>
      </c>
      <c r="D1952" s="53"/>
      <c r="E1952" s="46"/>
      <c r="F1952" s="46"/>
      <c r="G1952" s="46"/>
      <c r="H1952" s="46"/>
      <c r="I1952" s="47"/>
      <c r="J1952" s="17" t="str">
        <f>HYPERLINK("#'Ändringshistorik'!C289", "Ändringshistorik: [47]")</f>
        <v>Ändringshistorik: [47]</v>
      </c>
    </row>
    <row r="1953" spans="2:10" ht="19.899999999999999" customHeight="1" x14ac:dyDescent="0.25">
      <c r="B1953" s="30" t="s">
        <v>1580</v>
      </c>
      <c r="C1953" s="52" t="s">
        <v>1581</v>
      </c>
      <c r="D1953" s="53"/>
      <c r="E1953" s="46"/>
      <c r="F1953" s="46"/>
      <c r="G1953" s="46"/>
      <c r="H1953" s="46"/>
      <c r="I1953" s="47"/>
      <c r="J1953" s="17" t="str">
        <f>HYPERLINK("#'Ändringshistorik'!C299", "Ändringshistorik: [57]")</f>
        <v>Ändringshistorik: [57]</v>
      </c>
    </row>
    <row r="1954" spans="2:10" ht="19.899999999999999" customHeight="1" x14ac:dyDescent="0.25">
      <c r="B1954" s="30" t="s">
        <v>1582</v>
      </c>
      <c r="C1954" s="52" t="s">
        <v>1583</v>
      </c>
      <c r="D1954" s="53"/>
      <c r="E1954" s="46"/>
      <c r="F1954" s="46"/>
      <c r="G1954" s="46"/>
      <c r="H1954" s="46"/>
      <c r="I1954" s="47"/>
      <c r="J1954" s="17" t="str">
        <f>HYPERLINK("#'Ändringshistorik'!C300", "Ändringshistorik: [58]")</f>
        <v>Ändringshistorik: [58]</v>
      </c>
    </row>
    <row r="1955" spans="2:10" ht="19.899999999999999" customHeight="1" x14ac:dyDescent="0.25">
      <c r="B1955" s="30" t="s">
        <v>1584</v>
      </c>
      <c r="C1955" s="52" t="s">
        <v>1585</v>
      </c>
      <c r="D1955" s="53"/>
      <c r="E1955" s="46"/>
      <c r="F1955" s="46"/>
      <c r="G1955" s="46"/>
      <c r="H1955" s="46"/>
      <c r="I1955" s="47"/>
      <c r="J1955" s="17" t="str">
        <f>HYPERLINK("#'Ändringshistorik'!C301", "Ändringshistorik: [59]")</f>
        <v>Ändringshistorik: [59]</v>
      </c>
    </row>
    <row r="1956" spans="2:10" ht="19.899999999999999" customHeight="1" x14ac:dyDescent="0.25">
      <c r="B1956" s="30" t="s">
        <v>1586</v>
      </c>
      <c r="C1956" s="52" t="s">
        <v>1587</v>
      </c>
      <c r="D1956" s="53"/>
      <c r="E1956" s="46"/>
      <c r="F1956" s="46"/>
      <c r="G1956" s="46"/>
      <c r="H1956" s="46"/>
      <c r="I1956" s="47"/>
      <c r="J1956" s="17" t="str">
        <f>HYPERLINK("#'Ändringshistorik'!C302", "Ändringshistorik: [60]")</f>
        <v>Ändringshistorik: [60]</v>
      </c>
    </row>
    <row r="1957" spans="2:10" ht="19.899999999999999" customHeight="1" x14ac:dyDescent="0.25">
      <c r="B1957" s="30" t="s">
        <v>1588</v>
      </c>
      <c r="C1957" s="52" t="s">
        <v>1589</v>
      </c>
      <c r="D1957" s="53"/>
      <c r="E1957" s="46"/>
      <c r="F1957" s="46"/>
      <c r="G1957" s="46"/>
      <c r="H1957" s="46"/>
      <c r="I1957" s="47"/>
      <c r="J1957" s="17" t="str">
        <f>HYPERLINK("#'Ändringshistorik'!C303", "Ändringshistorik: [61]")</f>
        <v>Ändringshistorik: [61]</v>
      </c>
    </row>
    <row r="1958" spans="2:10" ht="19.899999999999999" customHeight="1" x14ac:dyDescent="0.25">
      <c r="B1958" s="30" t="s">
        <v>1590</v>
      </c>
      <c r="C1958" s="52" t="s">
        <v>1591</v>
      </c>
      <c r="D1958" s="53"/>
      <c r="E1958" s="46"/>
      <c r="F1958" s="46"/>
      <c r="G1958" s="46"/>
      <c r="H1958" s="46"/>
      <c r="I1958" s="47"/>
      <c r="J1958" s="17" t="str">
        <f>HYPERLINK("#'Ändringshistorik'!C304", "Ändringshistorik: [62]")</f>
        <v>Ändringshistorik: [62]</v>
      </c>
    </row>
    <row r="1959" spans="2:10" ht="19.899999999999999" customHeight="1" x14ac:dyDescent="0.25">
      <c r="B1959" s="30" t="s">
        <v>1592</v>
      </c>
      <c r="C1959" s="52" t="s">
        <v>1593</v>
      </c>
      <c r="D1959" s="53"/>
      <c r="E1959" s="46"/>
      <c r="F1959" s="46"/>
      <c r="G1959" s="46"/>
      <c r="H1959" s="46"/>
      <c r="I1959" s="47"/>
      <c r="J1959" s="17" t="str">
        <f>HYPERLINK("#'Ändringshistorik'!C305", "Ändringshistorik: [63]")</f>
        <v>Ändringshistorik: [63]</v>
      </c>
    </row>
    <row r="1960" spans="2:10" ht="19.899999999999999" customHeight="1" x14ac:dyDescent="0.25">
      <c r="B1960" s="30" t="s">
        <v>1594</v>
      </c>
      <c r="C1960" s="52" t="s">
        <v>1595</v>
      </c>
      <c r="D1960" s="53"/>
      <c r="E1960" s="46"/>
      <c r="F1960" s="46"/>
      <c r="G1960" s="46"/>
      <c r="H1960" s="46"/>
      <c r="I1960" s="47"/>
      <c r="J1960" s="17" t="str">
        <f>HYPERLINK("#'Ändringshistorik'!C306", "Ändringshistorik: [64]")</f>
        <v>Ändringshistorik: [64]</v>
      </c>
    </row>
    <row r="1961" spans="2:10" ht="19.899999999999999" customHeight="1" x14ac:dyDescent="0.25">
      <c r="B1961" s="30" t="s">
        <v>1596</v>
      </c>
      <c r="C1961" s="52" t="s">
        <v>1597</v>
      </c>
      <c r="D1961" s="53"/>
      <c r="E1961" s="46"/>
      <c r="F1961" s="46"/>
      <c r="G1961" s="46"/>
      <c r="H1961" s="46"/>
      <c r="I1961" s="47"/>
      <c r="J1961" s="17" t="str">
        <f>HYPERLINK("#'Ändringshistorik'!C307", "Ändringshistorik: [65]")</f>
        <v>Ändringshistorik: [65]</v>
      </c>
    </row>
    <row r="1962" spans="2:10" ht="19.899999999999999" customHeight="1" x14ac:dyDescent="0.25">
      <c r="B1962" s="30" t="s">
        <v>1598</v>
      </c>
      <c r="C1962" s="52" t="s">
        <v>1599</v>
      </c>
      <c r="D1962" s="53"/>
      <c r="E1962" s="46"/>
      <c r="F1962" s="46"/>
      <c r="G1962" s="46"/>
      <c r="H1962" s="46"/>
      <c r="I1962" s="47"/>
      <c r="J1962" s="17" t="str">
        <f>HYPERLINK("#'Ändringshistorik'!C308", "Ändringshistorik: [66]")</f>
        <v>Ändringshistorik: [66]</v>
      </c>
    </row>
    <row r="1963" spans="2:10" ht="19.899999999999999" customHeight="1" x14ac:dyDescent="0.25">
      <c r="B1963" s="30" t="s">
        <v>1600</v>
      </c>
      <c r="C1963" s="52" t="s">
        <v>1601</v>
      </c>
      <c r="D1963" s="53"/>
      <c r="E1963" s="46"/>
      <c r="F1963" s="46"/>
      <c r="G1963" s="46"/>
      <c r="H1963" s="46"/>
      <c r="I1963" s="47"/>
      <c r="J1963" s="17" t="str">
        <f>HYPERLINK("#'Ändringshistorik'!C309", "Ändringshistorik: [67]")</f>
        <v>Ändringshistorik: [67]</v>
      </c>
    </row>
    <row r="1964" spans="2:10" ht="19.899999999999999" customHeight="1" x14ac:dyDescent="0.25">
      <c r="B1964" s="30" t="s">
        <v>1602</v>
      </c>
      <c r="C1964" s="52" t="s">
        <v>1603</v>
      </c>
      <c r="D1964" s="53"/>
      <c r="E1964" s="46"/>
      <c r="F1964" s="46"/>
      <c r="G1964" s="46"/>
      <c r="H1964" s="46"/>
      <c r="I1964" s="47"/>
    </row>
    <row r="1965" spans="2:10" ht="19.899999999999999" customHeight="1" x14ac:dyDescent="0.25">
      <c r="B1965" s="30" t="s">
        <v>1604</v>
      </c>
      <c r="C1965" s="52" t="s">
        <v>1605</v>
      </c>
      <c r="D1965" s="53"/>
      <c r="E1965" s="46"/>
      <c r="F1965" s="46"/>
      <c r="G1965" s="46"/>
      <c r="H1965" s="46"/>
      <c r="I1965" s="47"/>
    </row>
    <row r="1966" spans="2:10" ht="19.899999999999999" customHeight="1" x14ac:dyDescent="0.25">
      <c r="B1966" s="30" t="s">
        <v>1606</v>
      </c>
      <c r="C1966" s="52" t="s">
        <v>1607</v>
      </c>
      <c r="D1966" s="53"/>
      <c r="E1966" s="46"/>
      <c r="F1966" s="46"/>
      <c r="G1966" s="46"/>
      <c r="H1966" s="46"/>
      <c r="I1966" s="47"/>
    </row>
    <row r="1967" spans="2:10" ht="19.899999999999999" customHeight="1" x14ac:dyDescent="0.25">
      <c r="B1967" s="30" t="s">
        <v>1608</v>
      </c>
      <c r="C1967" s="52" t="s">
        <v>1609</v>
      </c>
      <c r="D1967" s="53"/>
      <c r="E1967" s="46"/>
      <c r="F1967" s="46"/>
      <c r="G1967" s="46"/>
      <c r="H1967" s="46"/>
      <c r="I1967" s="47"/>
    </row>
    <row r="1968" spans="2:10" ht="19.899999999999999" customHeight="1" x14ac:dyDescent="0.25">
      <c r="B1968" s="30" t="s">
        <v>1610</v>
      </c>
      <c r="C1968" s="52" t="s">
        <v>1611</v>
      </c>
      <c r="D1968" s="53"/>
      <c r="E1968" s="46"/>
      <c r="F1968" s="46"/>
      <c r="G1968" s="46"/>
      <c r="H1968" s="46"/>
      <c r="I1968" s="47"/>
    </row>
    <row r="1969" spans="1:10" ht="19.899999999999999" customHeight="1" x14ac:dyDescent="0.25">
      <c r="B1969" s="30" t="s">
        <v>1612</v>
      </c>
      <c r="C1969" s="52" t="s">
        <v>1613</v>
      </c>
      <c r="D1969" s="53"/>
      <c r="E1969" s="46"/>
      <c r="F1969" s="46"/>
      <c r="G1969" s="46"/>
      <c r="H1969" s="46"/>
      <c r="I1969" s="47"/>
    </row>
    <row r="1970" spans="1:10" ht="19.899999999999999" customHeight="1" x14ac:dyDescent="0.25">
      <c r="B1970" s="30" t="s">
        <v>1614</v>
      </c>
      <c r="C1970" s="52" t="s">
        <v>1615</v>
      </c>
      <c r="D1970" s="53"/>
      <c r="E1970" s="46"/>
      <c r="F1970" s="46"/>
      <c r="G1970" s="46"/>
      <c r="H1970" s="46"/>
      <c r="I1970" s="47"/>
    </row>
    <row r="1971" spans="1:10" ht="19.899999999999999" customHeight="1" x14ac:dyDescent="0.25">
      <c r="B1971" s="30" t="s">
        <v>1616</v>
      </c>
      <c r="C1971" s="52" t="s">
        <v>1617</v>
      </c>
      <c r="D1971" s="53"/>
      <c r="E1971" s="46"/>
      <c r="F1971" s="46"/>
      <c r="G1971" s="46"/>
      <c r="H1971" s="46"/>
      <c r="I1971" s="47"/>
    </row>
    <row r="1972" spans="1:10" ht="19.899999999999999" customHeight="1" x14ac:dyDescent="0.25">
      <c r="B1972" s="30" t="s">
        <v>1618</v>
      </c>
      <c r="C1972" s="52" t="s">
        <v>1619</v>
      </c>
      <c r="D1972" s="53"/>
      <c r="E1972" s="46"/>
      <c r="F1972" s="46"/>
      <c r="G1972" s="46"/>
      <c r="H1972" s="46"/>
      <c r="I1972" s="47"/>
    </row>
    <row r="1973" spans="1:10" ht="19.899999999999999" customHeight="1" x14ac:dyDescent="0.25">
      <c r="B1973" s="30" t="s">
        <v>1620</v>
      </c>
      <c r="C1973" s="52" t="s">
        <v>1621</v>
      </c>
      <c r="D1973" s="53"/>
      <c r="E1973" s="46"/>
      <c r="F1973" s="46"/>
      <c r="G1973" s="46"/>
      <c r="H1973" s="46"/>
      <c r="I1973" s="47"/>
    </row>
    <row r="1974" spans="1:10" ht="19.899999999999999" customHeight="1" x14ac:dyDescent="0.25">
      <c r="B1974" s="30" t="s">
        <v>1622</v>
      </c>
      <c r="C1974" s="52" t="s">
        <v>1623</v>
      </c>
      <c r="D1974" s="53"/>
      <c r="E1974" s="46"/>
      <c r="F1974" s="46"/>
      <c r="G1974" s="46"/>
      <c r="H1974" s="46"/>
      <c r="I1974" s="47"/>
    </row>
    <row r="1975" spans="1:10" ht="19.899999999999999" customHeight="1" x14ac:dyDescent="0.25">
      <c r="B1975" s="31" t="s">
        <v>1624</v>
      </c>
      <c r="C1975" s="59" t="s">
        <v>1625</v>
      </c>
      <c r="D1975" s="60"/>
      <c r="E1975" s="49"/>
      <c r="F1975" s="49"/>
      <c r="G1975" s="49"/>
      <c r="H1975" s="49"/>
      <c r="I1975" s="50"/>
    </row>
    <row r="1979" spans="1:10" ht="34.35" customHeight="1" x14ac:dyDescent="0.25">
      <c r="A1979" s="45" t="s">
        <v>20</v>
      </c>
      <c r="B1979" s="46"/>
      <c r="C1979" s="46"/>
      <c r="D1979" s="46"/>
      <c r="E1979" s="46"/>
      <c r="F1979" s="46"/>
      <c r="G1979" s="46"/>
      <c r="H1979" s="46"/>
      <c r="I1979" s="46"/>
    </row>
    <row r="1980" spans="1:10" ht="18.75" x14ac:dyDescent="0.25">
      <c r="A1980" s="16" t="s">
        <v>1626</v>
      </c>
      <c r="B1980" s="3" t="s">
        <v>47</v>
      </c>
    </row>
    <row r="1981" spans="1:10" ht="19.899999999999999" customHeight="1" x14ac:dyDescent="0.25">
      <c r="B1981" s="22" t="s">
        <v>761</v>
      </c>
      <c r="C1981" s="32" t="s">
        <v>695</v>
      </c>
      <c r="D1981" s="42" t="s">
        <v>1627</v>
      </c>
      <c r="E1981" s="43"/>
      <c r="F1981" s="43"/>
      <c r="G1981" s="43"/>
      <c r="H1981" s="43"/>
      <c r="I1981" s="44"/>
      <c r="J1981" s="17" t="str">
        <f>HYPERLINK("#'Ändringshistorik'!C215", "Ändringshistorik: [172] ,[173]")</f>
        <v>Ändringshistorik: [172] ,[173]</v>
      </c>
    </row>
    <row r="1982" spans="1:10" x14ac:dyDescent="0.25">
      <c r="B1982" s="23"/>
      <c r="C1982" s="2" t="s">
        <v>1628</v>
      </c>
      <c r="I1982" s="26"/>
    </row>
    <row r="1983" spans="1:10" x14ac:dyDescent="0.25">
      <c r="B1983" s="23"/>
      <c r="I1983" s="26"/>
    </row>
    <row r="1984" spans="1:10" x14ac:dyDescent="0.25">
      <c r="B1984" s="23"/>
      <c r="C1984" s="55" t="s">
        <v>60</v>
      </c>
      <c r="D1984" s="46"/>
      <c r="E1984" s="46"/>
      <c r="F1984" s="46"/>
      <c r="G1984" s="46"/>
      <c r="H1984" s="46"/>
      <c r="I1984" s="47"/>
    </row>
    <row r="1985" spans="2:9" x14ac:dyDescent="0.25">
      <c r="B1985" s="23"/>
      <c r="I1985" s="26"/>
    </row>
    <row r="1986" spans="2:9" ht="48.95" customHeight="1" x14ac:dyDescent="0.25">
      <c r="B1986" s="24" t="s">
        <v>1629</v>
      </c>
      <c r="C1986" s="19" t="s">
        <v>695</v>
      </c>
      <c r="D1986" s="52" t="s">
        <v>1630</v>
      </c>
      <c r="E1986" s="53"/>
      <c r="F1986" s="53"/>
      <c r="G1986" s="53"/>
      <c r="H1986" s="53"/>
      <c r="I1986" s="54"/>
    </row>
    <row r="1987" spans="2:9" x14ac:dyDescent="0.25">
      <c r="B1987" s="23"/>
      <c r="C1987" s="2" t="s">
        <v>760</v>
      </c>
      <c r="I1987" s="26"/>
    </row>
    <row r="1988" spans="2:9" x14ac:dyDescent="0.25">
      <c r="B1988" s="23"/>
      <c r="I1988" s="26"/>
    </row>
    <row r="1989" spans="2:9" x14ac:dyDescent="0.25">
      <c r="B1989" s="23"/>
      <c r="C1989" s="55" t="s">
        <v>60</v>
      </c>
      <c r="D1989" s="46"/>
      <c r="E1989" s="46"/>
      <c r="F1989" s="46"/>
      <c r="G1989" s="46"/>
      <c r="H1989" s="46"/>
      <c r="I1989" s="47"/>
    </row>
    <row r="1990" spans="2:9" x14ac:dyDescent="0.25">
      <c r="B1990" s="23"/>
      <c r="I1990" s="26"/>
    </row>
    <row r="1991" spans="2:9" ht="48.95" customHeight="1" x14ac:dyDescent="0.25">
      <c r="B1991" s="24" t="s">
        <v>1631</v>
      </c>
      <c r="C1991" s="19" t="s">
        <v>695</v>
      </c>
      <c r="D1991" s="52" t="s">
        <v>1632</v>
      </c>
      <c r="E1991" s="53"/>
      <c r="F1991" s="53"/>
      <c r="G1991" s="53"/>
      <c r="H1991" s="53"/>
      <c r="I1991" s="54"/>
    </row>
    <row r="1992" spans="2:9" x14ac:dyDescent="0.25">
      <c r="B1992" s="23"/>
      <c r="C1992" s="2" t="s">
        <v>760</v>
      </c>
      <c r="I1992" s="26"/>
    </row>
    <row r="1993" spans="2:9" x14ac:dyDescent="0.25">
      <c r="B1993" s="23"/>
      <c r="I1993" s="26"/>
    </row>
    <row r="1994" spans="2:9" x14ac:dyDescent="0.25">
      <c r="B1994" s="23"/>
      <c r="C1994" s="55" t="s">
        <v>60</v>
      </c>
      <c r="D1994" s="46"/>
      <c r="E1994" s="46"/>
      <c r="F1994" s="46"/>
      <c r="G1994" s="46"/>
      <c r="H1994" s="46"/>
      <c r="I1994" s="47"/>
    </row>
    <row r="1995" spans="2:9" x14ac:dyDescent="0.25">
      <c r="B1995" s="23"/>
      <c r="C1995" s="67" t="str">
        <f>HYPERLINK("#'Json-dokumentation'!A3421", "Fotnot: (**)")</f>
        <v>Fotnot: (**)</v>
      </c>
      <c r="D1995" s="46"/>
      <c r="E1995" s="46"/>
      <c r="F1995" s="46"/>
      <c r="G1995" s="46"/>
      <c r="H1995" s="46"/>
      <c r="I1995" s="47"/>
    </row>
    <row r="1996" spans="2:9" x14ac:dyDescent="0.25">
      <c r="B1996" s="23"/>
      <c r="I1996" s="26"/>
    </row>
    <row r="1997" spans="2:9" ht="48.95" customHeight="1" x14ac:dyDescent="0.25">
      <c r="B1997" s="24" t="s">
        <v>1633</v>
      </c>
      <c r="C1997" s="19" t="s">
        <v>695</v>
      </c>
      <c r="D1997" s="52" t="s">
        <v>1634</v>
      </c>
      <c r="E1997" s="53"/>
      <c r="F1997" s="53"/>
      <c r="G1997" s="53"/>
      <c r="H1997" s="53"/>
      <c r="I1997" s="54"/>
    </row>
    <row r="1998" spans="2:9" x14ac:dyDescent="0.25">
      <c r="B1998" s="23"/>
      <c r="C1998" s="2" t="s">
        <v>760</v>
      </c>
      <c r="I1998" s="26"/>
    </row>
    <row r="1999" spans="2:9" x14ac:dyDescent="0.25">
      <c r="B1999" s="23"/>
      <c r="I1999" s="26"/>
    </row>
    <row r="2000" spans="2:9" x14ac:dyDescent="0.25">
      <c r="B2000" s="23"/>
      <c r="C2000" s="55" t="s">
        <v>60</v>
      </c>
      <c r="D2000" s="46"/>
      <c r="E2000" s="46"/>
      <c r="F2000" s="46"/>
      <c r="G2000" s="46"/>
      <c r="H2000" s="46"/>
      <c r="I2000" s="47"/>
    </row>
    <row r="2001" spans="2:9" x14ac:dyDescent="0.25">
      <c r="B2001" s="23"/>
      <c r="I2001" s="26"/>
    </row>
    <row r="2002" spans="2:9" ht="106.7" customHeight="1" x14ac:dyDescent="0.25">
      <c r="B2002" s="24" t="s">
        <v>1635</v>
      </c>
      <c r="C2002" s="19" t="str">
        <f>HYPERLINK("#'Json-dokumentation'!A3114", "Ett eller flera element av typen 'DagligVikt'")</f>
        <v>Ett eller flera element av typen 'DagligVikt'</v>
      </c>
      <c r="D2002" s="52" t="s">
        <v>1636</v>
      </c>
      <c r="E2002" s="53"/>
      <c r="F2002" s="53"/>
      <c r="G2002" s="53"/>
      <c r="H2002" s="53"/>
      <c r="I2002" s="54"/>
    </row>
    <row r="2003" spans="2:9" x14ac:dyDescent="0.25">
      <c r="B2003" s="23"/>
      <c r="C2003" s="55" t="s">
        <v>60</v>
      </c>
      <c r="D2003" s="46"/>
      <c r="E2003" s="46"/>
      <c r="F2003" s="46"/>
      <c r="G2003" s="46"/>
      <c r="H2003" s="46"/>
      <c r="I2003" s="47"/>
    </row>
    <row r="2004" spans="2:9" x14ac:dyDescent="0.25">
      <c r="B2004" s="25"/>
      <c r="C2004" s="21"/>
      <c r="D2004" s="21"/>
      <c r="E2004" s="21"/>
      <c r="F2004" s="21"/>
      <c r="G2004" s="21"/>
      <c r="H2004" s="21"/>
      <c r="I2004" s="27"/>
    </row>
    <row r="2006" spans="2:9" x14ac:dyDescent="0.25">
      <c r="B2006" s="3" t="s">
        <v>734</v>
      </c>
    </row>
    <row r="2008" spans="2:9" x14ac:dyDescent="0.25">
      <c r="B2008" s="3" t="s">
        <v>82</v>
      </c>
    </row>
    <row r="2009" spans="2:9" ht="19.899999999999999" customHeight="1" x14ac:dyDescent="0.25">
      <c r="B2009" s="29" t="s">
        <v>1637</v>
      </c>
      <c r="C2009" s="42" t="s">
        <v>1638</v>
      </c>
      <c r="D2009" s="43"/>
      <c r="E2009" s="43"/>
      <c r="F2009" s="43"/>
      <c r="G2009" s="43"/>
      <c r="H2009" s="43"/>
      <c r="I2009" s="44"/>
    </row>
    <row r="2010" spans="2:9" ht="19.899999999999999" customHeight="1" x14ac:dyDescent="0.25">
      <c r="B2010" s="30" t="s">
        <v>1639</v>
      </c>
      <c r="C2010" s="52" t="s">
        <v>1640</v>
      </c>
      <c r="D2010" s="53"/>
      <c r="E2010" s="46"/>
      <c r="F2010" s="46"/>
      <c r="G2010" s="46"/>
      <c r="H2010" s="46"/>
      <c r="I2010" s="47"/>
    </row>
    <row r="2011" spans="2:9" ht="19.899999999999999" customHeight="1" x14ac:dyDescent="0.25">
      <c r="B2011" s="30" t="s">
        <v>1641</v>
      </c>
      <c r="C2011" s="52" t="s">
        <v>1642</v>
      </c>
      <c r="D2011" s="53"/>
      <c r="E2011" s="46"/>
      <c r="F2011" s="46"/>
      <c r="G2011" s="46"/>
      <c r="H2011" s="46"/>
      <c r="I2011" s="47"/>
    </row>
    <row r="2012" spans="2:9" ht="19.899999999999999" customHeight="1" x14ac:dyDescent="0.25">
      <c r="B2012" s="30" t="s">
        <v>1643</v>
      </c>
      <c r="C2012" s="52" t="s">
        <v>1644</v>
      </c>
      <c r="D2012" s="53"/>
      <c r="E2012" s="46"/>
      <c r="F2012" s="46"/>
      <c r="G2012" s="46"/>
      <c r="H2012" s="46"/>
      <c r="I2012" s="47"/>
    </row>
    <row r="2013" spans="2:9" ht="19.899999999999999" customHeight="1" x14ac:dyDescent="0.25">
      <c r="B2013" s="30" t="s">
        <v>1645</v>
      </c>
      <c r="C2013" s="52" t="s">
        <v>1646</v>
      </c>
      <c r="D2013" s="53"/>
      <c r="E2013" s="46"/>
      <c r="F2013" s="46"/>
      <c r="G2013" s="46"/>
      <c r="H2013" s="46"/>
      <c r="I2013" s="47"/>
    </row>
    <row r="2014" spans="2:9" ht="19.899999999999999" customHeight="1" x14ac:dyDescent="0.25">
      <c r="B2014" s="31" t="s">
        <v>1647</v>
      </c>
      <c r="C2014" s="59" t="s">
        <v>1648</v>
      </c>
      <c r="D2014" s="60"/>
      <c r="E2014" s="49"/>
      <c r="F2014" s="49"/>
      <c r="G2014" s="49"/>
      <c r="H2014" s="49"/>
      <c r="I2014" s="50"/>
    </row>
    <row r="2018" spans="1:10" ht="19.899999999999999" customHeight="1" x14ac:dyDescent="0.25">
      <c r="A2018" s="45" t="s">
        <v>21</v>
      </c>
      <c r="B2018" s="46"/>
      <c r="C2018" s="46"/>
      <c r="D2018" s="46"/>
      <c r="E2018" s="46"/>
      <c r="F2018" s="46"/>
      <c r="G2018" s="46"/>
      <c r="H2018" s="46"/>
      <c r="I2018" s="46"/>
    </row>
    <row r="2019" spans="1:10" ht="18.75" x14ac:dyDescent="0.25">
      <c r="A2019" s="16" t="s">
        <v>1649</v>
      </c>
      <c r="B2019" s="3" t="s">
        <v>47</v>
      </c>
      <c r="J2019" s="17" t="str">
        <f>HYPERLINK("#'Ändringshistorik'!C136", "Ändringshistorik: [220]")</f>
        <v>Ändringshistorik: [220]</v>
      </c>
    </row>
    <row r="2020" spans="1:10" ht="34.35" customHeight="1" x14ac:dyDescent="0.25">
      <c r="B2020" s="22" t="s">
        <v>1650</v>
      </c>
      <c r="C2020" s="32" t="s">
        <v>69</v>
      </c>
      <c r="D2020" s="42" t="s">
        <v>1651</v>
      </c>
      <c r="E2020" s="43"/>
      <c r="F2020" s="43"/>
      <c r="G2020" s="43"/>
      <c r="H2020" s="43"/>
      <c r="I2020" s="44"/>
    </row>
    <row r="2021" spans="1:10" x14ac:dyDescent="0.25">
      <c r="B2021" s="23"/>
      <c r="C2021" s="2" t="s">
        <v>1652</v>
      </c>
      <c r="I2021" s="26"/>
    </row>
    <row r="2022" spans="1:10" x14ac:dyDescent="0.25">
      <c r="B2022" s="23"/>
      <c r="I2022" s="26"/>
    </row>
    <row r="2023" spans="1:10" x14ac:dyDescent="0.25">
      <c r="B2023" s="23"/>
      <c r="C2023" s="51" t="s">
        <v>55</v>
      </c>
      <c r="D2023" s="46"/>
      <c r="E2023" s="46"/>
      <c r="F2023" s="46"/>
      <c r="G2023" s="46"/>
      <c r="H2023" s="46"/>
      <c r="I2023" s="47"/>
    </row>
    <row r="2024" spans="1:10" x14ac:dyDescent="0.25">
      <c r="B2024" s="23"/>
      <c r="I2024" s="26"/>
    </row>
    <row r="2025" spans="1:10" ht="63.4" customHeight="1" x14ac:dyDescent="0.25">
      <c r="B2025" s="24" t="s">
        <v>958</v>
      </c>
      <c r="C2025" s="19" t="s">
        <v>213</v>
      </c>
      <c r="D2025" s="52" t="s">
        <v>1653</v>
      </c>
      <c r="E2025" s="53"/>
      <c r="F2025" s="53"/>
      <c r="G2025" s="53"/>
      <c r="H2025" s="53"/>
      <c r="I2025" s="54"/>
    </row>
    <row r="2026" spans="1:10" x14ac:dyDescent="0.25">
      <c r="B2026" s="23"/>
      <c r="I2026" s="26"/>
    </row>
    <row r="2027" spans="1:10" x14ac:dyDescent="0.25">
      <c r="B2027" s="23"/>
      <c r="C2027" s="55" t="s">
        <v>60</v>
      </c>
      <c r="D2027" s="46"/>
      <c r="E2027" s="46"/>
      <c r="F2027" s="46"/>
      <c r="G2027" s="46"/>
      <c r="H2027" s="46"/>
      <c r="I2027" s="47"/>
    </row>
    <row r="2028" spans="1:10" x14ac:dyDescent="0.25">
      <c r="B2028" s="23"/>
      <c r="I2028" s="26"/>
    </row>
    <row r="2029" spans="1:10" ht="19.899999999999999" customHeight="1" x14ac:dyDescent="0.25">
      <c r="B2029" s="24" t="s">
        <v>1654</v>
      </c>
      <c r="C2029" s="19" t="s">
        <v>69</v>
      </c>
      <c r="D2029" s="52" t="s">
        <v>1655</v>
      </c>
      <c r="E2029" s="53"/>
      <c r="F2029" s="53"/>
      <c r="G2029" s="53"/>
      <c r="H2029" s="53"/>
      <c r="I2029" s="54"/>
    </row>
    <row r="2030" spans="1:10" x14ac:dyDescent="0.25">
      <c r="B2030" s="23"/>
      <c r="C2030" s="2" t="s">
        <v>1656</v>
      </c>
      <c r="I2030" s="26"/>
    </row>
    <row r="2031" spans="1:10" x14ac:dyDescent="0.25">
      <c r="B2031" s="23"/>
      <c r="I2031" s="26"/>
    </row>
    <row r="2032" spans="1:10" x14ac:dyDescent="0.25">
      <c r="B2032" s="23"/>
      <c r="C2032" s="55" t="s">
        <v>60</v>
      </c>
      <c r="D2032" s="46"/>
      <c r="E2032" s="46"/>
      <c r="F2032" s="46"/>
      <c r="G2032" s="46"/>
      <c r="H2032" s="46"/>
      <c r="I2032" s="47"/>
    </row>
    <row r="2033" spans="2:10" x14ac:dyDescent="0.25">
      <c r="B2033" s="25"/>
      <c r="C2033" s="21"/>
      <c r="D2033" s="21"/>
      <c r="E2033" s="21"/>
      <c r="F2033" s="21"/>
      <c r="G2033" s="21"/>
      <c r="H2033" s="21"/>
      <c r="I2033" s="27"/>
    </row>
    <row r="2035" spans="2:10" x14ac:dyDescent="0.25">
      <c r="B2035" s="3" t="s">
        <v>82</v>
      </c>
    </row>
    <row r="2036" spans="2:10" ht="19.899999999999999" customHeight="1" x14ac:dyDescent="0.25">
      <c r="B2036" s="29" t="s">
        <v>1657</v>
      </c>
      <c r="C2036" s="42" t="s">
        <v>1658</v>
      </c>
      <c r="D2036" s="43"/>
      <c r="E2036" s="43"/>
      <c r="F2036" s="43"/>
      <c r="G2036" s="43"/>
      <c r="H2036" s="43"/>
      <c r="I2036" s="44"/>
    </row>
    <row r="2037" spans="2:10" ht="106.7" customHeight="1" x14ac:dyDescent="0.25">
      <c r="B2037" s="30" t="s">
        <v>1659</v>
      </c>
      <c r="C2037" s="52" t="s">
        <v>1660</v>
      </c>
      <c r="D2037" s="53"/>
      <c r="E2037" s="46"/>
      <c r="F2037" s="46"/>
      <c r="G2037" s="46"/>
      <c r="H2037" s="46"/>
      <c r="I2037" s="47"/>
    </row>
    <row r="2038" spans="2:10" ht="48.95" customHeight="1" x14ac:dyDescent="0.25">
      <c r="B2038" s="30" t="s">
        <v>1661</v>
      </c>
      <c r="C2038" s="52" t="s">
        <v>1662</v>
      </c>
      <c r="D2038" s="53"/>
      <c r="E2038" s="46"/>
      <c r="F2038" s="46"/>
      <c r="G2038" s="46"/>
      <c r="H2038" s="46"/>
      <c r="I2038" s="47"/>
    </row>
    <row r="2039" spans="2:10" ht="34.35" customHeight="1" x14ac:dyDescent="0.25">
      <c r="B2039" s="30" t="s">
        <v>1663</v>
      </c>
      <c r="C2039" s="52" t="s">
        <v>1664</v>
      </c>
      <c r="D2039" s="53"/>
      <c r="E2039" s="46"/>
      <c r="F2039" s="46"/>
      <c r="G2039" s="46"/>
      <c r="H2039" s="46"/>
      <c r="I2039" s="47"/>
      <c r="J2039" s="17" t="str">
        <f>HYPERLINK("#'Ändringshistorik'!C252", "Ändringshistorik: [108]")</f>
        <v>Ändringshistorik: [108]</v>
      </c>
    </row>
    <row r="2040" spans="2:10" ht="34.35" customHeight="1" x14ac:dyDescent="0.25">
      <c r="B2040" s="30" t="s">
        <v>1665</v>
      </c>
      <c r="C2040" s="52" t="s">
        <v>1666</v>
      </c>
      <c r="D2040" s="53"/>
      <c r="E2040" s="46"/>
      <c r="F2040" s="46"/>
      <c r="G2040" s="46"/>
      <c r="H2040" s="46"/>
      <c r="I2040" s="47"/>
      <c r="J2040" s="17" t="str">
        <f>HYPERLINK("#'Ändringshistorik'!C253", "Ändringshistorik: [109]")</f>
        <v>Ändringshistorik: [109]</v>
      </c>
    </row>
    <row r="2041" spans="2:10" ht="48.95" customHeight="1" x14ac:dyDescent="0.25">
      <c r="B2041" s="30" t="s">
        <v>1667</v>
      </c>
      <c r="C2041" s="52" t="s">
        <v>1668</v>
      </c>
      <c r="D2041" s="53"/>
      <c r="E2041" s="46"/>
      <c r="F2041" s="46"/>
      <c r="G2041" s="46"/>
      <c r="H2041" s="46"/>
      <c r="I2041" s="47"/>
      <c r="J2041" s="17" t="str">
        <f>HYPERLINK("#'Ändringshistorik'!C254", "Ändringshistorik: [110]")</f>
        <v>Ändringshistorik: [110]</v>
      </c>
    </row>
    <row r="2042" spans="2:10" ht="34.35" customHeight="1" x14ac:dyDescent="0.25">
      <c r="B2042" s="30" t="s">
        <v>1669</v>
      </c>
      <c r="C2042" s="52" t="s">
        <v>1670</v>
      </c>
      <c r="D2042" s="53"/>
      <c r="E2042" s="46"/>
      <c r="F2042" s="46"/>
      <c r="G2042" s="46"/>
      <c r="H2042" s="46"/>
      <c r="I2042" s="47"/>
      <c r="J2042" s="17" t="str">
        <f>HYPERLINK("#'Ändringshistorik'!C255", "Ändringshistorik: [111]")</f>
        <v>Ändringshistorik: [111]</v>
      </c>
    </row>
    <row r="2043" spans="2:10" ht="34.35" customHeight="1" x14ac:dyDescent="0.25">
      <c r="B2043" s="30" t="s">
        <v>1671</v>
      </c>
      <c r="C2043" s="52" t="s">
        <v>1672</v>
      </c>
      <c r="D2043" s="53"/>
      <c r="E2043" s="46"/>
      <c r="F2043" s="46"/>
      <c r="G2043" s="46"/>
      <c r="H2043" s="46"/>
      <c r="I2043" s="47"/>
    </row>
    <row r="2044" spans="2:10" ht="19.899999999999999" customHeight="1" x14ac:dyDescent="0.25">
      <c r="B2044" s="30" t="s">
        <v>1673</v>
      </c>
      <c r="C2044" s="52" t="s">
        <v>1674</v>
      </c>
      <c r="D2044" s="53"/>
      <c r="E2044" s="46"/>
      <c r="F2044" s="46"/>
      <c r="G2044" s="46"/>
      <c r="H2044" s="46"/>
      <c r="I2044" s="47"/>
    </row>
    <row r="2045" spans="2:10" ht="19.899999999999999" customHeight="1" x14ac:dyDescent="0.25">
      <c r="B2045" s="31" t="s">
        <v>1675</v>
      </c>
      <c r="C2045" s="59" t="s">
        <v>1676</v>
      </c>
      <c r="D2045" s="60"/>
      <c r="E2045" s="49"/>
      <c r="F2045" s="49"/>
      <c r="G2045" s="49"/>
      <c r="H2045" s="49"/>
      <c r="I2045" s="50"/>
    </row>
    <row r="2049" spans="1:9" ht="63.4" customHeight="1" x14ac:dyDescent="0.25">
      <c r="A2049" s="45" t="s">
        <v>22</v>
      </c>
      <c r="B2049" s="46"/>
      <c r="C2049" s="46"/>
      <c r="D2049" s="46"/>
      <c r="E2049" s="46"/>
      <c r="F2049" s="46"/>
      <c r="G2049" s="46"/>
      <c r="H2049" s="46"/>
      <c r="I2049" s="46"/>
    </row>
    <row r="2050" spans="1:9" ht="18.75" x14ac:dyDescent="0.25">
      <c r="A2050" s="16" t="s">
        <v>1677</v>
      </c>
      <c r="B2050" s="3" t="s">
        <v>47</v>
      </c>
    </row>
    <row r="2051" spans="1:9" ht="106.7" customHeight="1" x14ac:dyDescent="0.25">
      <c r="B2051" s="22" t="s">
        <v>958</v>
      </c>
      <c r="C2051" s="32" t="s">
        <v>73</v>
      </c>
      <c r="D2051" s="42" t="s">
        <v>1678</v>
      </c>
      <c r="E2051" s="43"/>
      <c r="F2051" s="43"/>
      <c r="G2051" s="43"/>
      <c r="H2051" s="43"/>
      <c r="I2051" s="44"/>
    </row>
    <row r="2052" spans="1:9" x14ac:dyDescent="0.25">
      <c r="B2052" s="23"/>
      <c r="I2052" s="26"/>
    </row>
    <row r="2053" spans="1:9" x14ac:dyDescent="0.25">
      <c r="B2053" s="23"/>
      <c r="C2053" s="51" t="s">
        <v>55</v>
      </c>
      <c r="D2053" s="46"/>
      <c r="E2053" s="46"/>
      <c r="F2053" s="46"/>
      <c r="G2053" s="46"/>
      <c r="H2053" s="46"/>
      <c r="I2053" s="47"/>
    </row>
    <row r="2054" spans="1:9" x14ac:dyDescent="0.25">
      <c r="B2054" s="23"/>
      <c r="I2054" s="26"/>
    </row>
    <row r="2055" spans="1:9" ht="19.899999999999999" customHeight="1" x14ac:dyDescent="0.25">
      <c r="B2055" s="24" t="s">
        <v>1679</v>
      </c>
      <c r="C2055" s="18" t="s">
        <v>49</v>
      </c>
      <c r="D2055" s="52" t="s">
        <v>1680</v>
      </c>
      <c r="E2055" s="53"/>
      <c r="F2055" s="53"/>
      <c r="G2055" s="53"/>
      <c r="H2055" s="53"/>
      <c r="I2055" s="54"/>
    </row>
    <row r="2056" spans="1:9" ht="19.899999999999999" customHeight="1" x14ac:dyDescent="0.25">
      <c r="B2056" s="23"/>
      <c r="C2056" s="2" t="s">
        <v>1681</v>
      </c>
      <c r="D2056" s="45" t="s">
        <v>1682</v>
      </c>
      <c r="E2056" s="46"/>
      <c r="F2056" s="46"/>
      <c r="G2056" s="46"/>
      <c r="H2056" s="46"/>
      <c r="I2056" s="47"/>
    </row>
    <row r="2057" spans="1:9" ht="19.899999999999999" customHeight="1" x14ac:dyDescent="0.25">
      <c r="B2057" s="23"/>
      <c r="C2057" s="2" t="s">
        <v>1683</v>
      </c>
      <c r="D2057" s="45" t="s">
        <v>1684</v>
      </c>
      <c r="E2057" s="46"/>
      <c r="F2057" s="46"/>
      <c r="G2057" s="46"/>
      <c r="H2057" s="46"/>
      <c r="I2057" s="47"/>
    </row>
    <row r="2058" spans="1:9" ht="19.899999999999999" customHeight="1" x14ac:dyDescent="0.25">
      <c r="B2058" s="23"/>
      <c r="C2058" s="2" t="s">
        <v>1685</v>
      </c>
      <c r="D2058" s="45" t="s">
        <v>1686</v>
      </c>
      <c r="E2058" s="46"/>
      <c r="F2058" s="46"/>
      <c r="G2058" s="46"/>
      <c r="H2058" s="46"/>
      <c r="I2058" s="47"/>
    </row>
    <row r="2059" spans="1:9" x14ac:dyDescent="0.25">
      <c r="B2059" s="23"/>
      <c r="I2059" s="26"/>
    </row>
    <row r="2060" spans="1:9" x14ac:dyDescent="0.25">
      <c r="B2060" s="23"/>
      <c r="C2060" s="51" t="s">
        <v>55</v>
      </c>
      <c r="D2060" s="46"/>
      <c r="E2060" s="46"/>
      <c r="F2060" s="46"/>
      <c r="G2060" s="46"/>
      <c r="H2060" s="46"/>
      <c r="I2060" s="47"/>
    </row>
    <row r="2061" spans="1:9" x14ac:dyDescent="0.25">
      <c r="B2061" s="23"/>
      <c r="I2061" s="26"/>
    </row>
    <row r="2062" spans="1:9" ht="19.899999999999999" customHeight="1" x14ac:dyDescent="0.25">
      <c r="B2062" s="24" t="s">
        <v>1687</v>
      </c>
      <c r="C2062" s="19" t="s">
        <v>182</v>
      </c>
      <c r="D2062" s="52" t="s">
        <v>1688</v>
      </c>
      <c r="E2062" s="53"/>
      <c r="F2062" s="53"/>
      <c r="G2062" s="53"/>
      <c r="H2062" s="53"/>
      <c r="I2062" s="54"/>
    </row>
    <row r="2063" spans="1:9" x14ac:dyDescent="0.25">
      <c r="B2063" s="23"/>
      <c r="C2063" s="2" t="s">
        <v>1689</v>
      </c>
      <c r="I2063" s="26"/>
    </row>
    <row r="2064" spans="1:9" x14ac:dyDescent="0.25">
      <c r="B2064" s="23"/>
      <c r="I2064" s="26"/>
    </row>
    <row r="2065" spans="2:9" x14ac:dyDescent="0.25">
      <c r="B2065" s="23"/>
      <c r="C2065" s="51" t="s">
        <v>55</v>
      </c>
      <c r="D2065" s="46"/>
      <c r="E2065" s="46"/>
      <c r="F2065" s="46"/>
      <c r="G2065" s="46"/>
      <c r="H2065" s="46"/>
      <c r="I2065" s="47"/>
    </row>
    <row r="2066" spans="2:9" x14ac:dyDescent="0.25">
      <c r="B2066" s="23"/>
      <c r="I2066" s="26"/>
    </row>
    <row r="2067" spans="2:9" ht="19.899999999999999" customHeight="1" x14ac:dyDescent="0.25">
      <c r="B2067" s="24" t="s">
        <v>1690</v>
      </c>
      <c r="C2067" s="19" t="s">
        <v>182</v>
      </c>
      <c r="D2067" s="52" t="s">
        <v>1691</v>
      </c>
      <c r="E2067" s="53"/>
      <c r="F2067" s="53"/>
      <c r="G2067" s="53"/>
      <c r="H2067" s="53"/>
      <c r="I2067" s="54"/>
    </row>
    <row r="2068" spans="2:9" x14ac:dyDescent="0.25">
      <c r="B2068" s="23"/>
      <c r="C2068" s="2" t="s">
        <v>1689</v>
      </c>
      <c r="I2068" s="26"/>
    </row>
    <row r="2069" spans="2:9" x14ac:dyDescent="0.25">
      <c r="B2069" s="23"/>
      <c r="I2069" s="26"/>
    </row>
    <row r="2070" spans="2:9" x14ac:dyDescent="0.25">
      <c r="B2070" s="23"/>
      <c r="C2070" s="51" t="s">
        <v>55</v>
      </c>
      <c r="D2070" s="46"/>
      <c r="E2070" s="46"/>
      <c r="F2070" s="46"/>
      <c r="G2070" s="46"/>
      <c r="H2070" s="46"/>
      <c r="I2070" s="47"/>
    </row>
    <row r="2071" spans="2:9" x14ac:dyDescent="0.25">
      <c r="B2071" s="23"/>
      <c r="I2071" s="26"/>
    </row>
    <row r="2072" spans="2:9" ht="19.899999999999999" customHeight="1" x14ac:dyDescent="0.25">
      <c r="B2072" s="24" t="s">
        <v>1692</v>
      </c>
      <c r="C2072" s="19" t="s">
        <v>182</v>
      </c>
      <c r="D2072" s="52" t="s">
        <v>1693</v>
      </c>
      <c r="E2072" s="53"/>
      <c r="F2072" s="53"/>
      <c r="G2072" s="53"/>
      <c r="H2072" s="53"/>
      <c r="I2072" s="54"/>
    </row>
    <row r="2073" spans="2:9" x14ac:dyDescent="0.25">
      <c r="B2073" s="23"/>
      <c r="C2073" s="2" t="s">
        <v>1689</v>
      </c>
      <c r="I2073" s="26"/>
    </row>
    <row r="2074" spans="2:9" x14ac:dyDescent="0.25">
      <c r="B2074" s="23"/>
      <c r="I2074" s="26"/>
    </row>
    <row r="2075" spans="2:9" x14ac:dyDescent="0.25">
      <c r="B2075" s="23"/>
      <c r="C2075" s="51" t="s">
        <v>55</v>
      </c>
      <c r="D2075" s="46"/>
      <c r="E2075" s="46"/>
      <c r="F2075" s="46"/>
      <c r="G2075" s="46"/>
      <c r="H2075" s="46"/>
      <c r="I2075" s="47"/>
    </row>
    <row r="2076" spans="2:9" x14ac:dyDescent="0.25">
      <c r="B2076" s="23"/>
      <c r="I2076" s="26"/>
    </row>
    <row r="2077" spans="2:9" ht="19.899999999999999" customHeight="1" x14ac:dyDescent="0.25">
      <c r="B2077" s="24" t="s">
        <v>1694</v>
      </c>
      <c r="C2077" s="19" t="s">
        <v>182</v>
      </c>
      <c r="D2077" s="52" t="s">
        <v>1695</v>
      </c>
      <c r="E2077" s="53"/>
      <c r="F2077" s="53"/>
      <c r="G2077" s="53"/>
      <c r="H2077" s="53"/>
      <c r="I2077" s="54"/>
    </row>
    <row r="2078" spans="2:9" x14ac:dyDescent="0.25">
      <c r="B2078" s="23"/>
      <c r="C2078" s="2" t="s">
        <v>1696</v>
      </c>
      <c r="I2078" s="26"/>
    </row>
    <row r="2079" spans="2:9" x14ac:dyDescent="0.25">
      <c r="B2079" s="23"/>
      <c r="I2079" s="26"/>
    </row>
    <row r="2080" spans="2:9" x14ac:dyDescent="0.25">
      <c r="B2080" s="23"/>
      <c r="C2080" s="51" t="s">
        <v>55</v>
      </c>
      <c r="D2080" s="46"/>
      <c r="E2080" s="46"/>
      <c r="F2080" s="46"/>
      <c r="G2080" s="46"/>
      <c r="H2080" s="46"/>
      <c r="I2080" s="47"/>
    </row>
    <row r="2081" spans="2:9" x14ac:dyDescent="0.25">
      <c r="B2081" s="23"/>
      <c r="I2081" s="26"/>
    </row>
    <row r="2082" spans="2:9" ht="19.899999999999999" customHeight="1" x14ac:dyDescent="0.25">
      <c r="B2082" s="24" t="s">
        <v>1697</v>
      </c>
      <c r="C2082" s="19" t="s">
        <v>182</v>
      </c>
      <c r="D2082" s="52" t="s">
        <v>1698</v>
      </c>
      <c r="E2082" s="53"/>
      <c r="F2082" s="53"/>
      <c r="G2082" s="53"/>
      <c r="H2082" s="53"/>
      <c r="I2082" s="54"/>
    </row>
    <row r="2083" spans="2:9" x14ac:dyDescent="0.25">
      <c r="B2083" s="23"/>
      <c r="C2083" s="2" t="s">
        <v>1689</v>
      </c>
      <c r="I2083" s="26"/>
    </row>
    <row r="2084" spans="2:9" x14ac:dyDescent="0.25">
      <c r="B2084" s="23"/>
      <c r="I2084" s="26"/>
    </row>
    <row r="2085" spans="2:9" x14ac:dyDescent="0.25">
      <c r="B2085" s="23"/>
      <c r="C2085" s="51" t="s">
        <v>55</v>
      </c>
      <c r="D2085" s="46"/>
      <c r="E2085" s="46"/>
      <c r="F2085" s="46"/>
      <c r="G2085" s="46"/>
      <c r="H2085" s="46"/>
      <c r="I2085" s="47"/>
    </row>
    <row r="2086" spans="2:9" x14ac:dyDescent="0.25">
      <c r="B2086" s="23"/>
      <c r="I2086" s="26"/>
    </row>
    <row r="2087" spans="2:9" ht="19.899999999999999" customHeight="1" x14ac:dyDescent="0.25">
      <c r="B2087" s="24" t="s">
        <v>1699</v>
      </c>
      <c r="C2087" s="19" t="s">
        <v>182</v>
      </c>
      <c r="D2087" s="52" t="s">
        <v>1700</v>
      </c>
      <c r="E2087" s="53"/>
      <c r="F2087" s="53"/>
      <c r="G2087" s="53"/>
      <c r="H2087" s="53"/>
      <c r="I2087" s="54"/>
    </row>
    <row r="2088" spans="2:9" x14ac:dyDescent="0.25">
      <c r="B2088" s="23"/>
      <c r="C2088" s="2" t="s">
        <v>1689</v>
      </c>
      <c r="I2088" s="26"/>
    </row>
    <row r="2089" spans="2:9" x14ac:dyDescent="0.25">
      <c r="B2089" s="23"/>
      <c r="I2089" s="26"/>
    </row>
    <row r="2090" spans="2:9" x14ac:dyDescent="0.25">
      <c r="B2090" s="23"/>
      <c r="C2090" s="51" t="s">
        <v>55</v>
      </c>
      <c r="D2090" s="46"/>
      <c r="E2090" s="46"/>
      <c r="F2090" s="46"/>
      <c r="G2090" s="46"/>
      <c r="H2090" s="46"/>
      <c r="I2090" s="47"/>
    </row>
    <row r="2091" spans="2:9" x14ac:dyDescent="0.25">
      <c r="B2091" s="23"/>
      <c r="I2091" s="26"/>
    </row>
    <row r="2092" spans="2:9" ht="19.899999999999999" customHeight="1" x14ac:dyDescent="0.25">
      <c r="B2092" s="24" t="s">
        <v>1701</v>
      </c>
      <c r="C2092" s="19" t="s">
        <v>182</v>
      </c>
      <c r="D2092" s="52" t="s">
        <v>1702</v>
      </c>
      <c r="E2092" s="53"/>
      <c r="F2092" s="53"/>
      <c r="G2092" s="53"/>
      <c r="H2092" s="53"/>
      <c r="I2092" s="54"/>
    </row>
    <row r="2093" spans="2:9" x14ac:dyDescent="0.25">
      <c r="B2093" s="23"/>
      <c r="C2093" s="2" t="s">
        <v>1696</v>
      </c>
      <c r="I2093" s="26"/>
    </row>
    <row r="2094" spans="2:9" x14ac:dyDescent="0.25">
      <c r="B2094" s="23"/>
      <c r="I2094" s="26"/>
    </row>
    <row r="2095" spans="2:9" x14ac:dyDescent="0.25">
      <c r="B2095" s="23"/>
      <c r="C2095" s="51" t="s">
        <v>55</v>
      </c>
      <c r="D2095" s="46"/>
      <c r="E2095" s="46"/>
      <c r="F2095" s="46"/>
      <c r="G2095" s="46"/>
      <c r="H2095" s="46"/>
      <c r="I2095" s="47"/>
    </row>
    <row r="2096" spans="2:9" x14ac:dyDescent="0.25">
      <c r="B2096" s="23"/>
      <c r="I2096" s="26"/>
    </row>
    <row r="2097" spans="2:9" ht="19.899999999999999" customHeight="1" x14ac:dyDescent="0.25">
      <c r="B2097" s="24" t="s">
        <v>1703</v>
      </c>
      <c r="C2097" s="19" t="s">
        <v>182</v>
      </c>
      <c r="D2097" s="52" t="s">
        <v>1704</v>
      </c>
      <c r="E2097" s="53"/>
      <c r="F2097" s="53"/>
      <c r="G2097" s="53"/>
      <c r="H2097" s="53"/>
      <c r="I2097" s="54"/>
    </row>
    <row r="2098" spans="2:9" x14ac:dyDescent="0.25">
      <c r="B2098" s="23"/>
      <c r="C2098" s="2" t="s">
        <v>1689</v>
      </c>
      <c r="I2098" s="26"/>
    </row>
    <row r="2099" spans="2:9" x14ac:dyDescent="0.25">
      <c r="B2099" s="23"/>
      <c r="I2099" s="26"/>
    </row>
    <row r="2100" spans="2:9" x14ac:dyDescent="0.25">
      <c r="B2100" s="23"/>
      <c r="C2100" s="51" t="s">
        <v>55</v>
      </c>
      <c r="D2100" s="46"/>
      <c r="E2100" s="46"/>
      <c r="F2100" s="46"/>
      <c r="G2100" s="46"/>
      <c r="H2100" s="46"/>
      <c r="I2100" s="47"/>
    </row>
    <row r="2101" spans="2:9" x14ac:dyDescent="0.25">
      <c r="B2101" s="23"/>
      <c r="I2101" s="26"/>
    </row>
    <row r="2102" spans="2:9" ht="19.899999999999999" customHeight="1" x14ac:dyDescent="0.25">
      <c r="B2102" s="24" t="s">
        <v>1705</v>
      </c>
      <c r="C2102" s="19" t="s">
        <v>182</v>
      </c>
      <c r="D2102" s="52" t="s">
        <v>1706</v>
      </c>
      <c r="E2102" s="53"/>
      <c r="F2102" s="53"/>
      <c r="G2102" s="53"/>
      <c r="H2102" s="53"/>
      <c r="I2102" s="54"/>
    </row>
    <row r="2103" spans="2:9" x14ac:dyDescent="0.25">
      <c r="B2103" s="23"/>
      <c r="C2103" s="2" t="s">
        <v>1689</v>
      </c>
      <c r="I2103" s="26"/>
    </row>
    <row r="2104" spans="2:9" x14ac:dyDescent="0.25">
      <c r="B2104" s="23"/>
      <c r="I2104" s="26"/>
    </row>
    <row r="2105" spans="2:9" x14ac:dyDescent="0.25">
      <c r="B2105" s="23"/>
      <c r="C2105" s="51" t="s">
        <v>55</v>
      </c>
      <c r="D2105" s="46"/>
      <c r="E2105" s="46"/>
      <c r="F2105" s="46"/>
      <c r="G2105" s="46"/>
      <c r="H2105" s="46"/>
      <c r="I2105" s="47"/>
    </row>
    <row r="2106" spans="2:9" x14ac:dyDescent="0.25">
      <c r="B2106" s="23"/>
      <c r="I2106" s="26"/>
    </row>
    <row r="2107" spans="2:9" ht="19.899999999999999" customHeight="1" x14ac:dyDescent="0.25">
      <c r="B2107" s="24" t="s">
        <v>1707</v>
      </c>
      <c r="C2107" s="19" t="s">
        <v>182</v>
      </c>
      <c r="D2107" s="52" t="s">
        <v>1708</v>
      </c>
      <c r="E2107" s="53"/>
      <c r="F2107" s="53"/>
      <c r="G2107" s="53"/>
      <c r="H2107" s="53"/>
      <c r="I2107" s="54"/>
    </row>
    <row r="2108" spans="2:9" x14ac:dyDescent="0.25">
      <c r="B2108" s="23"/>
      <c r="C2108" s="2" t="s">
        <v>1689</v>
      </c>
      <c r="I2108" s="26"/>
    </row>
    <row r="2109" spans="2:9" x14ac:dyDescent="0.25">
      <c r="B2109" s="23"/>
      <c r="I2109" s="26"/>
    </row>
    <row r="2110" spans="2:9" x14ac:dyDescent="0.25">
      <c r="B2110" s="23"/>
      <c r="C2110" s="51" t="s">
        <v>55</v>
      </c>
      <c r="D2110" s="46"/>
      <c r="E2110" s="46"/>
      <c r="F2110" s="46"/>
      <c r="G2110" s="46"/>
      <c r="H2110" s="46"/>
      <c r="I2110" s="47"/>
    </row>
    <row r="2111" spans="2:9" x14ac:dyDescent="0.25">
      <c r="B2111" s="23"/>
      <c r="I2111" s="26"/>
    </row>
    <row r="2112" spans="2:9" ht="19.899999999999999" customHeight="1" x14ac:dyDescent="0.25">
      <c r="B2112" s="24" t="s">
        <v>1709</v>
      </c>
      <c r="C2112" s="19" t="s">
        <v>182</v>
      </c>
      <c r="D2112" s="52" t="s">
        <v>1710</v>
      </c>
      <c r="E2112" s="53"/>
      <c r="F2112" s="53"/>
      <c r="G2112" s="53"/>
      <c r="H2112" s="53"/>
      <c r="I2112" s="54"/>
    </row>
    <row r="2113" spans="2:9" x14ac:dyDescent="0.25">
      <c r="B2113" s="23"/>
      <c r="C2113" s="2" t="s">
        <v>1689</v>
      </c>
      <c r="I2113" s="26"/>
    </row>
    <row r="2114" spans="2:9" x14ac:dyDescent="0.25">
      <c r="B2114" s="23"/>
      <c r="I2114" s="26"/>
    </row>
    <row r="2115" spans="2:9" x14ac:dyDescent="0.25">
      <c r="B2115" s="23"/>
      <c r="C2115" s="51" t="s">
        <v>55</v>
      </c>
      <c r="D2115" s="46"/>
      <c r="E2115" s="46"/>
      <c r="F2115" s="46"/>
      <c r="G2115" s="46"/>
      <c r="H2115" s="46"/>
      <c r="I2115" s="47"/>
    </row>
    <row r="2116" spans="2:9" x14ac:dyDescent="0.25">
      <c r="B2116" s="23"/>
      <c r="I2116" s="26"/>
    </row>
    <row r="2117" spans="2:9" ht="19.899999999999999" customHeight="1" x14ac:dyDescent="0.25">
      <c r="B2117" s="24" t="s">
        <v>1711</v>
      </c>
      <c r="C2117" s="19" t="s">
        <v>182</v>
      </c>
      <c r="D2117" s="52" t="s">
        <v>1712</v>
      </c>
      <c r="E2117" s="53"/>
      <c r="F2117" s="53"/>
      <c r="G2117" s="53"/>
      <c r="H2117" s="53"/>
      <c r="I2117" s="54"/>
    </row>
    <row r="2118" spans="2:9" x14ac:dyDescent="0.25">
      <c r="B2118" s="23"/>
      <c r="C2118" s="2" t="s">
        <v>1689</v>
      </c>
      <c r="I2118" s="26"/>
    </row>
    <row r="2119" spans="2:9" x14ac:dyDescent="0.25">
      <c r="B2119" s="23"/>
      <c r="I2119" s="26"/>
    </row>
    <row r="2120" spans="2:9" x14ac:dyDescent="0.25">
      <c r="B2120" s="23"/>
      <c r="C2120" s="51" t="s">
        <v>55</v>
      </c>
      <c r="D2120" s="46"/>
      <c r="E2120" s="46"/>
      <c r="F2120" s="46"/>
      <c r="G2120" s="46"/>
      <c r="H2120" s="46"/>
      <c r="I2120" s="47"/>
    </row>
    <row r="2121" spans="2:9" x14ac:dyDescent="0.25">
      <c r="B2121" s="23"/>
      <c r="I2121" s="26"/>
    </row>
    <row r="2122" spans="2:9" ht="19.899999999999999" customHeight="1" x14ac:dyDescent="0.25">
      <c r="B2122" s="24" t="s">
        <v>1713</v>
      </c>
      <c r="C2122" s="19" t="s">
        <v>182</v>
      </c>
      <c r="D2122" s="52" t="s">
        <v>1714</v>
      </c>
      <c r="E2122" s="53"/>
      <c r="F2122" s="53"/>
      <c r="G2122" s="53"/>
      <c r="H2122" s="53"/>
      <c r="I2122" s="54"/>
    </row>
    <row r="2123" spans="2:9" x14ac:dyDescent="0.25">
      <c r="B2123" s="23"/>
      <c r="C2123" s="2" t="s">
        <v>1696</v>
      </c>
      <c r="I2123" s="26"/>
    </row>
    <row r="2124" spans="2:9" x14ac:dyDescent="0.25">
      <c r="B2124" s="23"/>
      <c r="I2124" s="26"/>
    </row>
    <row r="2125" spans="2:9" x14ac:dyDescent="0.25">
      <c r="B2125" s="23"/>
      <c r="C2125" s="51" t="s">
        <v>55</v>
      </c>
      <c r="D2125" s="46"/>
      <c r="E2125" s="46"/>
      <c r="F2125" s="46"/>
      <c r="G2125" s="46"/>
      <c r="H2125" s="46"/>
      <c r="I2125" s="47"/>
    </row>
    <row r="2126" spans="2:9" x14ac:dyDescent="0.25">
      <c r="B2126" s="23"/>
      <c r="I2126" s="26"/>
    </row>
    <row r="2127" spans="2:9" ht="19.899999999999999" customHeight="1" x14ac:dyDescent="0.25">
      <c r="B2127" s="24" t="s">
        <v>1715</v>
      </c>
      <c r="C2127" s="19" t="s">
        <v>182</v>
      </c>
      <c r="D2127" s="52" t="s">
        <v>1716</v>
      </c>
      <c r="E2127" s="53"/>
      <c r="F2127" s="53"/>
      <c r="G2127" s="53"/>
      <c r="H2127" s="53"/>
      <c r="I2127" s="54"/>
    </row>
    <row r="2128" spans="2:9" x14ac:dyDescent="0.25">
      <c r="B2128" s="23"/>
      <c r="C2128" s="2" t="s">
        <v>1689</v>
      </c>
      <c r="I2128" s="26"/>
    </row>
    <row r="2129" spans="2:10" x14ac:dyDescent="0.25">
      <c r="B2129" s="23"/>
      <c r="I2129" s="26"/>
    </row>
    <row r="2130" spans="2:10" x14ac:dyDescent="0.25">
      <c r="B2130" s="23"/>
      <c r="C2130" s="51" t="s">
        <v>55</v>
      </c>
      <c r="D2130" s="46"/>
      <c r="E2130" s="46"/>
      <c r="F2130" s="46"/>
      <c r="G2130" s="46"/>
      <c r="H2130" s="46"/>
      <c r="I2130" s="47"/>
    </row>
    <row r="2131" spans="2:10" x14ac:dyDescent="0.25">
      <c r="B2131" s="25"/>
      <c r="C2131" s="21"/>
      <c r="D2131" s="21"/>
      <c r="E2131" s="21"/>
      <c r="F2131" s="21"/>
      <c r="G2131" s="21"/>
      <c r="H2131" s="21"/>
      <c r="I2131" s="27"/>
    </row>
    <row r="2133" spans="2:10" x14ac:dyDescent="0.25">
      <c r="B2133" s="3" t="s">
        <v>79</v>
      </c>
    </row>
    <row r="2134" spans="2:10" ht="19.899999999999999" customHeight="1" x14ac:dyDescent="0.25">
      <c r="B2134" s="29" t="s">
        <v>1717</v>
      </c>
      <c r="C2134" s="42" t="s">
        <v>1718</v>
      </c>
      <c r="D2134" s="43"/>
      <c r="E2134" s="43"/>
      <c r="F2134" s="43"/>
      <c r="G2134" s="43"/>
      <c r="H2134" s="43"/>
      <c r="I2134" s="44"/>
    </row>
    <row r="2135" spans="2:10" ht="19.899999999999999" customHeight="1" x14ac:dyDescent="0.25">
      <c r="B2135" s="31" t="s">
        <v>1719</v>
      </c>
      <c r="C2135" s="59" t="s">
        <v>1720</v>
      </c>
      <c r="D2135" s="60"/>
      <c r="E2135" s="49"/>
      <c r="F2135" s="49"/>
      <c r="G2135" s="49"/>
      <c r="H2135" s="49"/>
      <c r="I2135" s="50"/>
    </row>
    <row r="2137" spans="2:10" x14ac:dyDescent="0.25">
      <c r="B2137" s="3" t="s">
        <v>82</v>
      </c>
    </row>
    <row r="2138" spans="2:10" ht="19.899999999999999" customHeight="1" x14ac:dyDescent="0.25">
      <c r="B2138" s="29" t="s">
        <v>1721</v>
      </c>
      <c r="C2138" s="42" t="s">
        <v>1722</v>
      </c>
      <c r="D2138" s="43"/>
      <c r="E2138" s="43"/>
      <c r="F2138" s="43"/>
      <c r="G2138" s="43"/>
      <c r="H2138" s="43"/>
      <c r="I2138" s="44"/>
    </row>
    <row r="2139" spans="2:10" ht="19.899999999999999" customHeight="1" x14ac:dyDescent="0.25">
      <c r="B2139" s="30" t="s">
        <v>1723</v>
      </c>
      <c r="C2139" s="52" t="s">
        <v>1724</v>
      </c>
      <c r="D2139" s="53"/>
      <c r="E2139" s="46"/>
      <c r="F2139" s="46"/>
      <c r="G2139" s="46"/>
      <c r="H2139" s="46"/>
      <c r="I2139" s="47"/>
    </row>
    <row r="2140" spans="2:10" ht="106.7" customHeight="1" x14ac:dyDescent="0.25">
      <c r="B2140" s="30" t="s">
        <v>1725</v>
      </c>
      <c r="C2140" s="52" t="s">
        <v>1726</v>
      </c>
      <c r="D2140" s="53"/>
      <c r="E2140" s="46"/>
      <c r="F2140" s="46"/>
      <c r="G2140" s="46"/>
      <c r="H2140" s="46"/>
      <c r="I2140" s="47"/>
      <c r="J2140" s="17" t="str">
        <f>HYPERLINK("#'Ändringshistorik'!C256", "Ändringshistorik: [112]")</f>
        <v>Ändringshistorik: [112]</v>
      </c>
    </row>
    <row r="2141" spans="2:10" ht="19.899999999999999" customHeight="1" x14ac:dyDescent="0.25">
      <c r="B2141" s="30" t="s">
        <v>1727</v>
      </c>
      <c r="C2141" s="52" t="s">
        <v>1728</v>
      </c>
      <c r="D2141" s="53"/>
      <c r="E2141" s="46"/>
      <c r="F2141" s="46"/>
      <c r="G2141" s="46"/>
      <c r="H2141" s="46"/>
      <c r="I2141" s="47"/>
    </row>
    <row r="2142" spans="2:10" ht="19.899999999999999" customHeight="1" x14ac:dyDescent="0.25">
      <c r="B2142" s="31" t="s">
        <v>1729</v>
      </c>
      <c r="C2142" s="59" t="s">
        <v>1730</v>
      </c>
      <c r="D2142" s="60"/>
      <c r="E2142" s="49"/>
      <c r="F2142" s="49"/>
      <c r="G2142" s="49"/>
      <c r="H2142" s="49"/>
      <c r="I2142" s="50"/>
    </row>
    <row r="2146" spans="1:9" ht="48.95" customHeight="1" x14ac:dyDescent="0.25">
      <c r="A2146" s="45" t="s">
        <v>23</v>
      </c>
      <c r="B2146" s="46"/>
      <c r="C2146" s="46"/>
      <c r="D2146" s="46"/>
      <c r="E2146" s="46"/>
      <c r="F2146" s="46"/>
      <c r="G2146" s="46"/>
      <c r="H2146" s="46"/>
      <c r="I2146" s="46"/>
    </row>
    <row r="2147" spans="1:9" ht="18.75" x14ac:dyDescent="0.25">
      <c r="A2147" s="16" t="s">
        <v>1731</v>
      </c>
      <c r="B2147" s="3" t="s">
        <v>47</v>
      </c>
    </row>
    <row r="2148" spans="1:9" ht="106.7" customHeight="1" x14ac:dyDescent="0.25">
      <c r="B2148" s="22" t="s">
        <v>958</v>
      </c>
      <c r="C2148" s="32" t="s">
        <v>73</v>
      </c>
      <c r="D2148" s="42" t="s">
        <v>1678</v>
      </c>
      <c r="E2148" s="43"/>
      <c r="F2148" s="43"/>
      <c r="G2148" s="43"/>
      <c r="H2148" s="43"/>
      <c r="I2148" s="44"/>
    </row>
    <row r="2149" spans="1:9" x14ac:dyDescent="0.25">
      <c r="B2149" s="23"/>
      <c r="I2149" s="26"/>
    </row>
    <row r="2150" spans="1:9" x14ac:dyDescent="0.25">
      <c r="B2150" s="23"/>
      <c r="C2150" s="51" t="s">
        <v>55</v>
      </c>
      <c r="D2150" s="46"/>
      <c r="E2150" s="46"/>
      <c r="F2150" s="46"/>
      <c r="G2150" s="46"/>
      <c r="H2150" s="46"/>
      <c r="I2150" s="47"/>
    </row>
    <row r="2151" spans="1:9" x14ac:dyDescent="0.25">
      <c r="B2151" s="23"/>
      <c r="I2151" s="26"/>
    </row>
    <row r="2152" spans="1:9" ht="19.899999999999999" customHeight="1" x14ac:dyDescent="0.25">
      <c r="B2152" s="24" t="s">
        <v>1679</v>
      </c>
      <c r="C2152" s="18" t="s">
        <v>49</v>
      </c>
      <c r="D2152" s="52" t="s">
        <v>1680</v>
      </c>
      <c r="E2152" s="53"/>
      <c r="F2152" s="53"/>
      <c r="G2152" s="53"/>
      <c r="H2152" s="53"/>
      <c r="I2152" s="54"/>
    </row>
    <row r="2153" spans="1:9" ht="19.899999999999999" customHeight="1" x14ac:dyDescent="0.25">
      <c r="B2153" s="23"/>
      <c r="C2153" s="2" t="s">
        <v>1681</v>
      </c>
      <c r="D2153" s="45" t="s">
        <v>1682</v>
      </c>
      <c r="E2153" s="46"/>
      <c r="F2153" s="46"/>
      <c r="G2153" s="46"/>
      <c r="H2153" s="46"/>
      <c r="I2153" s="47"/>
    </row>
    <row r="2154" spans="1:9" ht="19.899999999999999" customHeight="1" x14ac:dyDescent="0.25">
      <c r="B2154" s="23"/>
      <c r="C2154" s="2" t="s">
        <v>1683</v>
      </c>
      <c r="D2154" s="45" t="s">
        <v>1684</v>
      </c>
      <c r="E2154" s="46"/>
      <c r="F2154" s="46"/>
      <c r="G2154" s="46"/>
      <c r="H2154" s="46"/>
      <c r="I2154" s="47"/>
    </row>
    <row r="2155" spans="1:9" ht="19.899999999999999" customHeight="1" x14ac:dyDescent="0.25">
      <c r="B2155" s="23"/>
      <c r="C2155" s="2" t="s">
        <v>1685</v>
      </c>
      <c r="D2155" s="45" t="s">
        <v>1686</v>
      </c>
      <c r="E2155" s="46"/>
      <c r="F2155" s="46"/>
      <c r="G2155" s="46"/>
      <c r="H2155" s="46"/>
      <c r="I2155" s="47"/>
    </row>
    <row r="2156" spans="1:9" x14ac:dyDescent="0.25">
      <c r="B2156" s="23"/>
      <c r="I2156" s="26"/>
    </row>
    <row r="2157" spans="1:9" x14ac:dyDescent="0.25">
      <c r="B2157" s="23"/>
      <c r="C2157" s="51" t="s">
        <v>55</v>
      </c>
      <c r="D2157" s="46"/>
      <c r="E2157" s="46"/>
      <c r="F2157" s="46"/>
      <c r="G2157" s="46"/>
      <c r="H2157" s="46"/>
      <c r="I2157" s="47"/>
    </row>
    <row r="2158" spans="1:9" x14ac:dyDescent="0.25">
      <c r="B2158" s="23"/>
      <c r="I2158" s="26"/>
    </row>
    <row r="2159" spans="1:9" ht="19.899999999999999" customHeight="1" x14ac:dyDescent="0.25">
      <c r="B2159" s="24" t="s">
        <v>1687</v>
      </c>
      <c r="C2159" s="19" t="s">
        <v>182</v>
      </c>
      <c r="D2159" s="52" t="s">
        <v>1732</v>
      </c>
      <c r="E2159" s="53"/>
      <c r="F2159" s="53"/>
      <c r="G2159" s="53"/>
      <c r="H2159" s="53"/>
      <c r="I2159" s="54"/>
    </row>
    <row r="2160" spans="1:9" x14ac:dyDescent="0.25">
      <c r="B2160" s="23"/>
      <c r="C2160" s="2" t="s">
        <v>1689</v>
      </c>
      <c r="I2160" s="26"/>
    </row>
    <row r="2161" spans="2:9" x14ac:dyDescent="0.25">
      <c r="B2161" s="23"/>
      <c r="I2161" s="26"/>
    </row>
    <row r="2162" spans="2:9" x14ac:dyDescent="0.25">
      <c r="B2162" s="23"/>
      <c r="C2162" s="51" t="s">
        <v>55</v>
      </c>
      <c r="D2162" s="46"/>
      <c r="E2162" s="46"/>
      <c r="F2162" s="46"/>
      <c r="G2162" s="46"/>
      <c r="H2162" s="46"/>
      <c r="I2162" s="47"/>
    </row>
    <row r="2163" spans="2:9" x14ac:dyDescent="0.25">
      <c r="B2163" s="23"/>
      <c r="I2163" s="26"/>
    </row>
    <row r="2164" spans="2:9" ht="19.899999999999999" customHeight="1" x14ac:dyDescent="0.25">
      <c r="B2164" s="24" t="s">
        <v>1690</v>
      </c>
      <c r="C2164" s="19" t="s">
        <v>182</v>
      </c>
      <c r="D2164" s="52" t="s">
        <v>1691</v>
      </c>
      <c r="E2164" s="53"/>
      <c r="F2164" s="53"/>
      <c r="G2164" s="53"/>
      <c r="H2164" s="53"/>
      <c r="I2164" s="54"/>
    </row>
    <row r="2165" spans="2:9" x14ac:dyDescent="0.25">
      <c r="B2165" s="23"/>
      <c r="C2165" s="2" t="s">
        <v>1689</v>
      </c>
      <c r="I2165" s="26"/>
    </row>
    <row r="2166" spans="2:9" x14ac:dyDescent="0.25">
      <c r="B2166" s="23"/>
      <c r="I2166" s="26"/>
    </row>
    <row r="2167" spans="2:9" x14ac:dyDescent="0.25">
      <c r="B2167" s="23"/>
      <c r="C2167" s="51" t="s">
        <v>55</v>
      </c>
      <c r="D2167" s="46"/>
      <c r="E2167" s="46"/>
      <c r="F2167" s="46"/>
      <c r="G2167" s="46"/>
      <c r="H2167" s="46"/>
      <c r="I2167" s="47"/>
    </row>
    <row r="2168" spans="2:9" x14ac:dyDescent="0.25">
      <c r="B2168" s="23"/>
      <c r="I2168" s="26"/>
    </row>
    <row r="2169" spans="2:9" ht="19.899999999999999" customHeight="1" x14ac:dyDescent="0.25">
      <c r="B2169" s="24" t="s">
        <v>1692</v>
      </c>
      <c r="C2169" s="19" t="s">
        <v>182</v>
      </c>
      <c r="D2169" s="52" t="s">
        <v>1693</v>
      </c>
      <c r="E2169" s="53"/>
      <c r="F2169" s="53"/>
      <c r="G2169" s="53"/>
      <c r="H2169" s="53"/>
      <c r="I2169" s="54"/>
    </row>
    <row r="2170" spans="2:9" x14ac:dyDescent="0.25">
      <c r="B2170" s="23"/>
      <c r="C2170" s="2" t="s">
        <v>1689</v>
      </c>
      <c r="I2170" s="26"/>
    </row>
    <row r="2171" spans="2:9" x14ac:dyDescent="0.25">
      <c r="B2171" s="23"/>
      <c r="I2171" s="26"/>
    </row>
    <row r="2172" spans="2:9" x14ac:dyDescent="0.25">
      <c r="B2172" s="23"/>
      <c r="C2172" s="51" t="s">
        <v>55</v>
      </c>
      <c r="D2172" s="46"/>
      <c r="E2172" s="46"/>
      <c r="F2172" s="46"/>
      <c r="G2172" s="46"/>
      <c r="H2172" s="46"/>
      <c r="I2172" s="47"/>
    </row>
    <row r="2173" spans="2:9" x14ac:dyDescent="0.25">
      <c r="B2173" s="23"/>
      <c r="I2173" s="26"/>
    </row>
    <row r="2174" spans="2:9" ht="19.899999999999999" customHeight="1" x14ac:dyDescent="0.25">
      <c r="B2174" s="24" t="s">
        <v>1697</v>
      </c>
      <c r="C2174" s="19" t="s">
        <v>182</v>
      </c>
      <c r="D2174" s="52" t="s">
        <v>1733</v>
      </c>
      <c r="E2174" s="53"/>
      <c r="F2174" s="53"/>
      <c r="G2174" s="53"/>
      <c r="H2174" s="53"/>
      <c r="I2174" s="54"/>
    </row>
    <row r="2175" spans="2:9" x14ac:dyDescent="0.25">
      <c r="B2175" s="23"/>
      <c r="C2175" s="2" t="s">
        <v>1689</v>
      </c>
      <c r="I2175" s="26"/>
    </row>
    <row r="2176" spans="2:9" x14ac:dyDescent="0.25">
      <c r="B2176" s="23"/>
      <c r="I2176" s="26"/>
    </row>
    <row r="2177" spans="2:9" x14ac:dyDescent="0.25">
      <c r="B2177" s="23"/>
      <c r="C2177" s="51" t="s">
        <v>55</v>
      </c>
      <c r="D2177" s="46"/>
      <c r="E2177" s="46"/>
      <c r="F2177" s="46"/>
      <c r="G2177" s="46"/>
      <c r="H2177" s="46"/>
      <c r="I2177" s="47"/>
    </row>
    <row r="2178" spans="2:9" x14ac:dyDescent="0.25">
      <c r="B2178" s="23"/>
      <c r="I2178" s="26"/>
    </row>
    <row r="2179" spans="2:9" ht="19.899999999999999" customHeight="1" x14ac:dyDescent="0.25">
      <c r="B2179" s="24" t="s">
        <v>1734</v>
      </c>
      <c r="C2179" s="19" t="s">
        <v>182</v>
      </c>
      <c r="D2179" s="52" t="s">
        <v>1735</v>
      </c>
      <c r="E2179" s="53"/>
      <c r="F2179" s="53"/>
      <c r="G2179" s="53"/>
      <c r="H2179" s="53"/>
      <c r="I2179" s="54"/>
    </row>
    <row r="2180" spans="2:9" x14ac:dyDescent="0.25">
      <c r="B2180" s="23"/>
      <c r="C2180" s="2" t="s">
        <v>1696</v>
      </c>
      <c r="I2180" s="26"/>
    </row>
    <row r="2181" spans="2:9" x14ac:dyDescent="0.25">
      <c r="B2181" s="23"/>
      <c r="I2181" s="26"/>
    </row>
    <row r="2182" spans="2:9" x14ac:dyDescent="0.25">
      <c r="B2182" s="23"/>
      <c r="C2182" s="51" t="s">
        <v>55</v>
      </c>
      <c r="D2182" s="46"/>
      <c r="E2182" s="46"/>
      <c r="F2182" s="46"/>
      <c r="G2182" s="46"/>
      <c r="H2182" s="46"/>
      <c r="I2182" s="47"/>
    </row>
    <row r="2183" spans="2:9" x14ac:dyDescent="0.25">
      <c r="B2183" s="23"/>
      <c r="I2183" s="26"/>
    </row>
    <row r="2184" spans="2:9" ht="19.899999999999999" customHeight="1" x14ac:dyDescent="0.25">
      <c r="B2184" s="24" t="s">
        <v>1699</v>
      </c>
      <c r="C2184" s="19" t="s">
        <v>182</v>
      </c>
      <c r="D2184" s="52" t="s">
        <v>1736</v>
      </c>
      <c r="E2184" s="53"/>
      <c r="F2184" s="53"/>
      <c r="G2184" s="53"/>
      <c r="H2184" s="53"/>
      <c r="I2184" s="54"/>
    </row>
    <row r="2185" spans="2:9" x14ac:dyDescent="0.25">
      <c r="B2185" s="23"/>
      <c r="C2185" s="2" t="s">
        <v>1689</v>
      </c>
      <c r="I2185" s="26"/>
    </row>
    <row r="2186" spans="2:9" x14ac:dyDescent="0.25">
      <c r="B2186" s="23"/>
      <c r="I2186" s="26"/>
    </row>
    <row r="2187" spans="2:9" x14ac:dyDescent="0.25">
      <c r="B2187" s="23"/>
      <c r="C2187" s="51" t="s">
        <v>55</v>
      </c>
      <c r="D2187" s="46"/>
      <c r="E2187" s="46"/>
      <c r="F2187" s="46"/>
      <c r="G2187" s="46"/>
      <c r="H2187" s="46"/>
      <c r="I2187" s="47"/>
    </row>
    <row r="2188" spans="2:9" x14ac:dyDescent="0.25">
      <c r="B2188" s="23"/>
      <c r="I2188" s="26"/>
    </row>
    <row r="2189" spans="2:9" ht="19.899999999999999" customHeight="1" x14ac:dyDescent="0.25">
      <c r="B2189" s="24" t="s">
        <v>1703</v>
      </c>
      <c r="C2189" s="19" t="s">
        <v>182</v>
      </c>
      <c r="D2189" s="52" t="s">
        <v>1737</v>
      </c>
      <c r="E2189" s="53"/>
      <c r="F2189" s="53"/>
      <c r="G2189" s="53"/>
      <c r="H2189" s="53"/>
      <c r="I2189" s="54"/>
    </row>
    <row r="2190" spans="2:9" x14ac:dyDescent="0.25">
      <c r="B2190" s="23"/>
      <c r="C2190" s="2" t="s">
        <v>1689</v>
      </c>
      <c r="I2190" s="26"/>
    </row>
    <row r="2191" spans="2:9" x14ac:dyDescent="0.25">
      <c r="B2191" s="23"/>
      <c r="I2191" s="26"/>
    </row>
    <row r="2192" spans="2:9" x14ac:dyDescent="0.25">
      <c r="B2192" s="23"/>
      <c r="C2192" s="51" t="s">
        <v>55</v>
      </c>
      <c r="D2192" s="46"/>
      <c r="E2192" s="46"/>
      <c r="F2192" s="46"/>
      <c r="G2192" s="46"/>
      <c r="H2192" s="46"/>
      <c r="I2192" s="47"/>
    </row>
    <row r="2193" spans="2:9" x14ac:dyDescent="0.25">
      <c r="B2193" s="23"/>
      <c r="I2193" s="26"/>
    </row>
    <row r="2194" spans="2:9" ht="19.899999999999999" customHeight="1" x14ac:dyDescent="0.25">
      <c r="B2194" s="24" t="s">
        <v>1705</v>
      </c>
      <c r="C2194" s="19" t="s">
        <v>182</v>
      </c>
      <c r="D2194" s="52" t="s">
        <v>1738</v>
      </c>
      <c r="E2194" s="53"/>
      <c r="F2194" s="53"/>
      <c r="G2194" s="53"/>
      <c r="H2194" s="53"/>
      <c r="I2194" s="54"/>
    </row>
    <row r="2195" spans="2:9" x14ac:dyDescent="0.25">
      <c r="B2195" s="23"/>
      <c r="C2195" s="2" t="s">
        <v>1689</v>
      </c>
      <c r="I2195" s="26"/>
    </row>
    <row r="2196" spans="2:9" x14ac:dyDescent="0.25">
      <c r="B2196" s="23"/>
      <c r="I2196" s="26"/>
    </row>
    <row r="2197" spans="2:9" x14ac:dyDescent="0.25">
      <c r="B2197" s="23"/>
      <c r="C2197" s="51" t="s">
        <v>55</v>
      </c>
      <c r="D2197" s="46"/>
      <c r="E2197" s="46"/>
      <c r="F2197" s="46"/>
      <c r="G2197" s="46"/>
      <c r="H2197" s="46"/>
      <c r="I2197" s="47"/>
    </row>
    <row r="2198" spans="2:9" x14ac:dyDescent="0.25">
      <c r="B2198" s="23"/>
      <c r="I2198" s="26"/>
    </row>
    <row r="2199" spans="2:9" ht="19.899999999999999" customHeight="1" x14ac:dyDescent="0.25">
      <c r="B2199" s="24" t="s">
        <v>1707</v>
      </c>
      <c r="C2199" s="19" t="s">
        <v>182</v>
      </c>
      <c r="D2199" s="52" t="s">
        <v>1739</v>
      </c>
      <c r="E2199" s="53"/>
      <c r="F2199" s="53"/>
      <c r="G2199" s="53"/>
      <c r="H2199" s="53"/>
      <c r="I2199" s="54"/>
    </row>
    <row r="2200" spans="2:9" x14ac:dyDescent="0.25">
      <c r="B2200" s="23"/>
      <c r="C2200" s="2" t="s">
        <v>1689</v>
      </c>
      <c r="I2200" s="26"/>
    </row>
    <row r="2201" spans="2:9" x14ac:dyDescent="0.25">
      <c r="B2201" s="23"/>
      <c r="I2201" s="26"/>
    </row>
    <row r="2202" spans="2:9" x14ac:dyDescent="0.25">
      <c r="B2202" s="23"/>
      <c r="C2202" s="51" t="s">
        <v>55</v>
      </c>
      <c r="D2202" s="46"/>
      <c r="E2202" s="46"/>
      <c r="F2202" s="46"/>
      <c r="G2202" s="46"/>
      <c r="H2202" s="46"/>
      <c r="I2202" s="47"/>
    </row>
    <row r="2203" spans="2:9" x14ac:dyDescent="0.25">
      <c r="B2203" s="23"/>
      <c r="I2203" s="26"/>
    </row>
    <row r="2204" spans="2:9" ht="19.899999999999999" customHeight="1" x14ac:dyDescent="0.25">
      <c r="B2204" s="24" t="s">
        <v>1709</v>
      </c>
      <c r="C2204" s="19" t="s">
        <v>182</v>
      </c>
      <c r="D2204" s="52" t="s">
        <v>1740</v>
      </c>
      <c r="E2204" s="53"/>
      <c r="F2204" s="53"/>
      <c r="G2204" s="53"/>
      <c r="H2204" s="53"/>
      <c r="I2204" s="54"/>
    </row>
    <row r="2205" spans="2:9" x14ac:dyDescent="0.25">
      <c r="B2205" s="23"/>
      <c r="C2205" s="2" t="s">
        <v>1689</v>
      </c>
      <c r="I2205" s="26"/>
    </row>
    <row r="2206" spans="2:9" x14ac:dyDescent="0.25">
      <c r="B2206" s="23"/>
      <c r="I2206" s="26"/>
    </row>
    <row r="2207" spans="2:9" x14ac:dyDescent="0.25">
      <c r="B2207" s="23"/>
      <c r="C2207" s="51" t="s">
        <v>55</v>
      </c>
      <c r="D2207" s="46"/>
      <c r="E2207" s="46"/>
      <c r="F2207" s="46"/>
      <c r="G2207" s="46"/>
      <c r="H2207" s="46"/>
      <c r="I2207" s="47"/>
    </row>
    <row r="2208" spans="2:9" x14ac:dyDescent="0.25">
      <c r="B2208" s="23"/>
      <c r="I2208" s="26"/>
    </row>
    <row r="2209" spans="2:9" ht="19.899999999999999" customHeight="1" x14ac:dyDescent="0.25">
      <c r="B2209" s="24" t="s">
        <v>1741</v>
      </c>
      <c r="C2209" s="19" t="s">
        <v>182</v>
      </c>
      <c r="D2209" s="52" t="s">
        <v>1742</v>
      </c>
      <c r="E2209" s="53"/>
      <c r="F2209" s="53"/>
      <c r="G2209" s="53"/>
      <c r="H2209" s="53"/>
      <c r="I2209" s="54"/>
    </row>
    <row r="2210" spans="2:9" x14ac:dyDescent="0.25">
      <c r="B2210" s="23"/>
      <c r="C2210" s="2" t="s">
        <v>1696</v>
      </c>
      <c r="I2210" s="26"/>
    </row>
    <row r="2211" spans="2:9" x14ac:dyDescent="0.25">
      <c r="B2211" s="23"/>
      <c r="I2211" s="26"/>
    </row>
    <row r="2212" spans="2:9" x14ac:dyDescent="0.25">
      <c r="B2212" s="23"/>
      <c r="C2212" s="51" t="s">
        <v>55</v>
      </c>
      <c r="D2212" s="46"/>
      <c r="E2212" s="46"/>
      <c r="F2212" s="46"/>
      <c r="G2212" s="46"/>
      <c r="H2212" s="46"/>
      <c r="I2212" s="47"/>
    </row>
    <row r="2213" spans="2:9" x14ac:dyDescent="0.25">
      <c r="B2213" s="23"/>
      <c r="I2213" s="26"/>
    </row>
    <row r="2214" spans="2:9" ht="19.899999999999999" customHeight="1" x14ac:dyDescent="0.25">
      <c r="B2214" s="24" t="s">
        <v>1711</v>
      </c>
      <c r="C2214" s="19" t="s">
        <v>182</v>
      </c>
      <c r="D2214" s="52" t="s">
        <v>1743</v>
      </c>
      <c r="E2214" s="53"/>
      <c r="F2214" s="53"/>
      <c r="G2214" s="53"/>
      <c r="H2214" s="53"/>
      <c r="I2214" s="54"/>
    </row>
    <row r="2215" spans="2:9" x14ac:dyDescent="0.25">
      <c r="B2215" s="23"/>
      <c r="C2215" s="2" t="s">
        <v>1689</v>
      </c>
      <c r="I2215" s="26"/>
    </row>
    <row r="2216" spans="2:9" x14ac:dyDescent="0.25">
      <c r="B2216" s="23"/>
      <c r="I2216" s="26"/>
    </row>
    <row r="2217" spans="2:9" x14ac:dyDescent="0.25">
      <c r="B2217" s="23"/>
      <c r="C2217" s="51" t="s">
        <v>55</v>
      </c>
      <c r="D2217" s="46"/>
      <c r="E2217" s="46"/>
      <c r="F2217" s="46"/>
      <c r="G2217" s="46"/>
      <c r="H2217" s="46"/>
      <c r="I2217" s="47"/>
    </row>
    <row r="2218" spans="2:9" x14ac:dyDescent="0.25">
      <c r="B2218" s="23"/>
      <c r="I2218" s="26"/>
    </row>
    <row r="2219" spans="2:9" ht="19.899999999999999" customHeight="1" x14ac:dyDescent="0.25">
      <c r="B2219" s="24" t="s">
        <v>1715</v>
      </c>
      <c r="C2219" s="19" t="s">
        <v>182</v>
      </c>
      <c r="D2219" s="52" t="s">
        <v>1744</v>
      </c>
      <c r="E2219" s="53"/>
      <c r="F2219" s="53"/>
      <c r="G2219" s="53"/>
      <c r="H2219" s="53"/>
      <c r="I2219" s="54"/>
    </row>
    <row r="2220" spans="2:9" x14ac:dyDescent="0.25">
      <c r="B2220" s="23"/>
      <c r="C2220" s="2" t="s">
        <v>1689</v>
      </c>
      <c r="I2220" s="26"/>
    </row>
    <row r="2221" spans="2:9" x14ac:dyDescent="0.25">
      <c r="B2221" s="23"/>
      <c r="I2221" s="26"/>
    </row>
    <row r="2222" spans="2:9" x14ac:dyDescent="0.25">
      <c r="B2222" s="23"/>
      <c r="C2222" s="51" t="s">
        <v>55</v>
      </c>
      <c r="D2222" s="46"/>
      <c r="E2222" s="46"/>
      <c r="F2222" s="46"/>
      <c r="G2222" s="46"/>
      <c r="H2222" s="46"/>
      <c r="I2222" s="47"/>
    </row>
    <row r="2223" spans="2:9" x14ac:dyDescent="0.25">
      <c r="B2223" s="25"/>
      <c r="C2223" s="21"/>
      <c r="D2223" s="21"/>
      <c r="E2223" s="21"/>
      <c r="F2223" s="21"/>
      <c r="G2223" s="21"/>
      <c r="H2223" s="21"/>
      <c r="I2223" s="27"/>
    </row>
    <row r="2225" spans="1:10" x14ac:dyDescent="0.25">
      <c r="B2225" s="3" t="s">
        <v>79</v>
      </c>
    </row>
    <row r="2226" spans="1:10" ht="19.899999999999999" customHeight="1" x14ac:dyDescent="0.25">
      <c r="B2226" s="29" t="s">
        <v>1745</v>
      </c>
      <c r="C2226" s="42" t="s">
        <v>1718</v>
      </c>
      <c r="D2226" s="43"/>
      <c r="E2226" s="43"/>
      <c r="F2226" s="43"/>
      <c r="G2226" s="43"/>
      <c r="H2226" s="43"/>
      <c r="I2226" s="44"/>
    </row>
    <row r="2227" spans="1:10" ht="19.899999999999999" customHeight="1" x14ac:dyDescent="0.25">
      <c r="B2227" s="31" t="s">
        <v>1746</v>
      </c>
      <c r="C2227" s="59" t="s">
        <v>1720</v>
      </c>
      <c r="D2227" s="60"/>
      <c r="E2227" s="49"/>
      <c r="F2227" s="49"/>
      <c r="G2227" s="49"/>
      <c r="H2227" s="49"/>
      <c r="I2227" s="50"/>
    </row>
    <row r="2229" spans="1:10" x14ac:dyDescent="0.25">
      <c r="B2229" s="3" t="s">
        <v>82</v>
      </c>
    </row>
    <row r="2230" spans="1:10" ht="19.899999999999999" customHeight="1" x14ac:dyDescent="0.25">
      <c r="B2230" s="29" t="s">
        <v>1747</v>
      </c>
      <c r="C2230" s="42" t="s">
        <v>1722</v>
      </c>
      <c r="D2230" s="43"/>
      <c r="E2230" s="43"/>
      <c r="F2230" s="43"/>
      <c r="G2230" s="43"/>
      <c r="H2230" s="43"/>
      <c r="I2230" s="44"/>
    </row>
    <row r="2231" spans="1:10" ht="19.899999999999999" customHeight="1" x14ac:dyDescent="0.25">
      <c r="B2231" s="30" t="s">
        <v>1748</v>
      </c>
      <c r="C2231" s="52" t="s">
        <v>1724</v>
      </c>
      <c r="D2231" s="53"/>
      <c r="E2231" s="46"/>
      <c r="F2231" s="46"/>
      <c r="G2231" s="46"/>
      <c r="H2231" s="46"/>
      <c r="I2231" s="47"/>
    </row>
    <row r="2232" spans="1:10" ht="106.7" customHeight="1" x14ac:dyDescent="0.25">
      <c r="B2232" s="30" t="s">
        <v>1749</v>
      </c>
      <c r="C2232" s="52" t="s">
        <v>1750</v>
      </c>
      <c r="D2232" s="53"/>
      <c r="E2232" s="46"/>
      <c r="F2232" s="46"/>
      <c r="G2232" s="46"/>
      <c r="H2232" s="46"/>
      <c r="I2232" s="47"/>
      <c r="J2232" s="17" t="str">
        <f>HYPERLINK("#'Ändringshistorik'!C257", "Ändringshistorik: [113]")</f>
        <v>Ändringshistorik: [113]</v>
      </c>
    </row>
    <row r="2233" spans="1:10" ht="19.899999999999999" customHeight="1" x14ac:dyDescent="0.25">
      <c r="B2233" s="30" t="s">
        <v>1751</v>
      </c>
      <c r="C2233" s="52" t="s">
        <v>1728</v>
      </c>
      <c r="D2233" s="53"/>
      <c r="E2233" s="46"/>
      <c r="F2233" s="46"/>
      <c r="G2233" s="46"/>
      <c r="H2233" s="46"/>
      <c r="I2233" s="47"/>
    </row>
    <row r="2234" spans="1:10" ht="19.899999999999999" customHeight="1" x14ac:dyDescent="0.25">
      <c r="B2234" s="31" t="s">
        <v>1752</v>
      </c>
      <c r="C2234" s="59" t="s">
        <v>1753</v>
      </c>
      <c r="D2234" s="60"/>
      <c r="E2234" s="49"/>
      <c r="F2234" s="49"/>
      <c r="G2234" s="49"/>
      <c r="H2234" s="49"/>
      <c r="I2234" s="50"/>
    </row>
    <row r="2238" spans="1:10" ht="63.4" customHeight="1" x14ac:dyDescent="0.25">
      <c r="A2238" s="45" t="s">
        <v>24</v>
      </c>
      <c r="B2238" s="46"/>
      <c r="C2238" s="46"/>
      <c r="D2238" s="46"/>
      <c r="E2238" s="46"/>
      <c r="F2238" s="46"/>
      <c r="G2238" s="46"/>
      <c r="H2238" s="46"/>
      <c r="I2238" s="46"/>
    </row>
    <row r="2239" spans="1:10" ht="18.75" x14ac:dyDescent="0.25">
      <c r="A2239" s="16" t="s">
        <v>1754</v>
      </c>
      <c r="B2239" s="3" t="s">
        <v>47</v>
      </c>
    </row>
    <row r="2240" spans="1:10" ht="19.899999999999999" customHeight="1" x14ac:dyDescent="0.25">
      <c r="B2240" s="22" t="s">
        <v>958</v>
      </c>
      <c r="C2240" s="32" t="s">
        <v>73</v>
      </c>
      <c r="D2240" s="42" t="s">
        <v>1755</v>
      </c>
      <c r="E2240" s="43"/>
      <c r="F2240" s="43"/>
      <c r="G2240" s="43"/>
      <c r="H2240" s="43"/>
      <c r="I2240" s="44"/>
    </row>
    <row r="2241" spans="2:9" x14ac:dyDescent="0.25">
      <c r="B2241" s="23"/>
      <c r="I2241" s="26"/>
    </row>
    <row r="2242" spans="2:9" x14ac:dyDescent="0.25">
      <c r="B2242" s="23"/>
      <c r="C2242" s="51" t="s">
        <v>55</v>
      </c>
      <c r="D2242" s="46"/>
      <c r="E2242" s="46"/>
      <c r="F2242" s="46"/>
      <c r="G2242" s="46"/>
      <c r="H2242" s="46"/>
      <c r="I2242" s="47"/>
    </row>
    <row r="2243" spans="2:9" x14ac:dyDescent="0.25">
      <c r="B2243" s="23"/>
      <c r="I2243" s="26"/>
    </row>
    <row r="2244" spans="2:9" ht="34.35" customHeight="1" x14ac:dyDescent="0.25">
      <c r="B2244" s="24" t="s">
        <v>1756</v>
      </c>
      <c r="C2244" s="19" t="s">
        <v>220</v>
      </c>
      <c r="D2244" s="52" t="s">
        <v>1757</v>
      </c>
      <c r="E2244" s="53"/>
      <c r="F2244" s="53"/>
      <c r="G2244" s="53"/>
      <c r="H2244" s="53"/>
      <c r="I2244" s="54"/>
    </row>
    <row r="2245" spans="2:9" x14ac:dyDescent="0.25">
      <c r="B2245" s="23"/>
      <c r="C2245" s="2" t="s">
        <v>222</v>
      </c>
      <c r="I2245" s="26"/>
    </row>
    <row r="2246" spans="2:9" x14ac:dyDescent="0.25">
      <c r="B2246" s="23"/>
      <c r="I2246" s="26"/>
    </row>
    <row r="2247" spans="2:9" x14ac:dyDescent="0.25">
      <c r="B2247" s="23"/>
      <c r="C2247" s="51" t="s">
        <v>55</v>
      </c>
      <c r="D2247" s="46"/>
      <c r="E2247" s="46"/>
      <c r="F2247" s="46"/>
      <c r="G2247" s="46"/>
      <c r="H2247" s="46"/>
      <c r="I2247" s="47"/>
    </row>
    <row r="2248" spans="2:9" x14ac:dyDescent="0.25">
      <c r="B2248" s="23"/>
      <c r="I2248" s="26"/>
    </row>
    <row r="2249" spans="2:9" ht="34.35" customHeight="1" x14ac:dyDescent="0.25">
      <c r="B2249" s="24" t="s">
        <v>1758</v>
      </c>
      <c r="C2249" s="19" t="s">
        <v>220</v>
      </c>
      <c r="D2249" s="52" t="s">
        <v>1759</v>
      </c>
      <c r="E2249" s="53"/>
      <c r="F2249" s="53"/>
      <c r="G2249" s="53"/>
      <c r="H2249" s="53"/>
      <c r="I2249" s="54"/>
    </row>
    <row r="2250" spans="2:9" x14ac:dyDescent="0.25">
      <c r="B2250" s="23"/>
      <c r="C2250" s="2" t="s">
        <v>222</v>
      </c>
      <c r="I2250" s="26"/>
    </row>
    <row r="2251" spans="2:9" x14ac:dyDescent="0.25">
      <c r="B2251" s="23"/>
      <c r="I2251" s="26"/>
    </row>
    <row r="2252" spans="2:9" x14ac:dyDescent="0.25">
      <c r="B2252" s="23"/>
      <c r="C2252" s="51" t="s">
        <v>55</v>
      </c>
      <c r="D2252" s="46"/>
      <c r="E2252" s="46"/>
      <c r="F2252" s="46"/>
      <c r="G2252" s="46"/>
      <c r="H2252" s="46"/>
      <c r="I2252" s="47"/>
    </row>
    <row r="2253" spans="2:9" x14ac:dyDescent="0.25">
      <c r="B2253" s="23"/>
      <c r="I2253" s="26"/>
    </row>
    <row r="2254" spans="2:9" ht="34.35" customHeight="1" x14ac:dyDescent="0.25">
      <c r="B2254" s="24" t="s">
        <v>1760</v>
      </c>
      <c r="C2254" s="19" t="s">
        <v>220</v>
      </c>
      <c r="D2254" s="52" t="s">
        <v>1761</v>
      </c>
      <c r="E2254" s="53"/>
      <c r="F2254" s="53"/>
      <c r="G2254" s="53"/>
      <c r="H2254" s="53"/>
      <c r="I2254" s="54"/>
    </row>
    <row r="2255" spans="2:9" x14ac:dyDescent="0.25">
      <c r="B2255" s="23"/>
      <c r="C2255" s="2" t="s">
        <v>222</v>
      </c>
      <c r="I2255" s="26"/>
    </row>
    <row r="2256" spans="2:9" x14ac:dyDescent="0.25">
      <c r="B2256" s="23"/>
      <c r="I2256" s="26"/>
    </row>
    <row r="2257" spans="2:9" x14ac:dyDescent="0.25">
      <c r="B2257" s="23"/>
      <c r="C2257" s="51" t="s">
        <v>55</v>
      </c>
      <c r="D2257" s="46"/>
      <c r="E2257" s="46"/>
      <c r="F2257" s="46"/>
      <c r="G2257" s="46"/>
      <c r="H2257" s="46"/>
      <c r="I2257" s="47"/>
    </row>
    <row r="2258" spans="2:9" x14ac:dyDescent="0.25">
      <c r="B2258" s="23"/>
      <c r="I2258" s="26"/>
    </row>
    <row r="2259" spans="2:9" ht="34.35" customHeight="1" x14ac:dyDescent="0.25">
      <c r="B2259" s="24" t="s">
        <v>1762</v>
      </c>
      <c r="C2259" s="19" t="s">
        <v>220</v>
      </c>
      <c r="D2259" s="52" t="s">
        <v>1763</v>
      </c>
      <c r="E2259" s="53"/>
      <c r="F2259" s="53"/>
      <c r="G2259" s="53"/>
      <c r="H2259" s="53"/>
      <c r="I2259" s="54"/>
    </row>
    <row r="2260" spans="2:9" x14ac:dyDescent="0.25">
      <c r="B2260" s="23"/>
      <c r="C2260" s="2" t="s">
        <v>222</v>
      </c>
      <c r="I2260" s="26"/>
    </row>
    <row r="2261" spans="2:9" x14ac:dyDescent="0.25">
      <c r="B2261" s="23"/>
      <c r="I2261" s="26"/>
    </row>
    <row r="2262" spans="2:9" x14ac:dyDescent="0.25">
      <c r="B2262" s="23"/>
      <c r="C2262" s="51" t="s">
        <v>55</v>
      </c>
      <c r="D2262" s="46"/>
      <c r="E2262" s="46"/>
      <c r="F2262" s="46"/>
      <c r="G2262" s="46"/>
      <c r="H2262" s="46"/>
      <c r="I2262" s="47"/>
    </row>
    <row r="2263" spans="2:9" x14ac:dyDescent="0.25">
      <c r="B2263" s="23"/>
      <c r="I2263" s="26"/>
    </row>
    <row r="2264" spans="2:9" ht="19.899999999999999" customHeight="1" x14ac:dyDescent="0.25">
      <c r="B2264" s="24" t="s">
        <v>1764</v>
      </c>
      <c r="C2264" s="19" t="s">
        <v>220</v>
      </c>
      <c r="D2264" s="52" t="s">
        <v>1765</v>
      </c>
      <c r="E2264" s="53"/>
      <c r="F2264" s="53"/>
      <c r="G2264" s="53"/>
      <c r="H2264" s="53"/>
      <c r="I2264" s="54"/>
    </row>
    <row r="2265" spans="2:9" x14ac:dyDescent="0.25">
      <c r="B2265" s="23"/>
      <c r="C2265" s="2" t="s">
        <v>222</v>
      </c>
      <c r="I2265" s="26"/>
    </row>
    <row r="2266" spans="2:9" x14ac:dyDescent="0.25">
      <c r="B2266" s="23"/>
      <c r="I2266" s="26"/>
    </row>
    <row r="2267" spans="2:9" x14ac:dyDescent="0.25">
      <c r="B2267" s="23"/>
      <c r="C2267" s="51" t="s">
        <v>55</v>
      </c>
      <c r="D2267" s="46"/>
      <c r="E2267" s="46"/>
      <c r="F2267" s="46"/>
      <c r="G2267" s="46"/>
      <c r="H2267" s="46"/>
      <c r="I2267" s="47"/>
    </row>
    <row r="2268" spans="2:9" x14ac:dyDescent="0.25">
      <c r="B2268" s="23"/>
      <c r="I2268" s="26"/>
    </row>
    <row r="2269" spans="2:9" ht="34.35" customHeight="1" x14ac:dyDescent="0.25">
      <c r="B2269" s="24" t="s">
        <v>1766</v>
      </c>
      <c r="C2269" s="19" t="s">
        <v>220</v>
      </c>
      <c r="D2269" s="52" t="s">
        <v>1767</v>
      </c>
      <c r="E2269" s="53"/>
      <c r="F2269" s="53"/>
      <c r="G2269" s="53"/>
      <c r="H2269" s="53"/>
      <c r="I2269" s="54"/>
    </row>
    <row r="2270" spans="2:9" x14ac:dyDescent="0.25">
      <c r="B2270" s="23"/>
      <c r="C2270" s="2" t="s">
        <v>222</v>
      </c>
      <c r="I2270" s="26"/>
    </row>
    <row r="2271" spans="2:9" x14ac:dyDescent="0.25">
      <c r="B2271" s="23"/>
      <c r="I2271" s="26"/>
    </row>
    <row r="2272" spans="2:9" x14ac:dyDescent="0.25">
      <c r="B2272" s="23"/>
      <c r="C2272" s="51" t="s">
        <v>55</v>
      </c>
      <c r="D2272" s="46"/>
      <c r="E2272" s="46"/>
      <c r="F2272" s="46"/>
      <c r="G2272" s="46"/>
      <c r="H2272" s="46"/>
      <c r="I2272" s="47"/>
    </row>
    <row r="2273" spans="2:9" x14ac:dyDescent="0.25">
      <c r="B2273" s="23"/>
      <c r="I2273" s="26"/>
    </row>
    <row r="2274" spans="2:9" ht="19.899999999999999" customHeight="1" x14ac:dyDescent="0.25">
      <c r="B2274" s="24" t="s">
        <v>518</v>
      </c>
      <c r="C2274" s="19" t="s">
        <v>220</v>
      </c>
      <c r="D2274" s="52" t="s">
        <v>1768</v>
      </c>
      <c r="E2274" s="53"/>
      <c r="F2274" s="53"/>
      <c r="G2274" s="53"/>
      <c r="H2274" s="53"/>
      <c r="I2274" s="54"/>
    </row>
    <row r="2275" spans="2:9" x14ac:dyDescent="0.25">
      <c r="B2275" s="23"/>
      <c r="C2275" s="2" t="s">
        <v>222</v>
      </c>
      <c r="I2275" s="26"/>
    </row>
    <row r="2276" spans="2:9" x14ac:dyDescent="0.25">
      <c r="B2276" s="23"/>
      <c r="I2276" s="26"/>
    </row>
    <row r="2277" spans="2:9" x14ac:dyDescent="0.25">
      <c r="B2277" s="23"/>
      <c r="C2277" s="51" t="s">
        <v>55</v>
      </c>
      <c r="D2277" s="46"/>
      <c r="E2277" s="46"/>
      <c r="F2277" s="46"/>
      <c r="G2277" s="46"/>
      <c r="H2277" s="46"/>
      <c r="I2277" s="47"/>
    </row>
    <row r="2278" spans="2:9" x14ac:dyDescent="0.25">
      <c r="B2278" s="23"/>
      <c r="I2278" s="26"/>
    </row>
    <row r="2279" spans="2:9" ht="106.7" customHeight="1" x14ac:dyDescent="0.25">
      <c r="B2279" s="24" t="s">
        <v>1769</v>
      </c>
      <c r="C2279" s="19" t="s">
        <v>220</v>
      </c>
      <c r="D2279" s="52" t="s">
        <v>1770</v>
      </c>
      <c r="E2279" s="53"/>
      <c r="F2279" s="53"/>
      <c r="G2279" s="53"/>
      <c r="H2279" s="53"/>
      <c r="I2279" s="54"/>
    </row>
    <row r="2280" spans="2:9" x14ac:dyDescent="0.25">
      <c r="B2280" s="23"/>
      <c r="C2280" s="2" t="s">
        <v>222</v>
      </c>
      <c r="I2280" s="26"/>
    </row>
    <row r="2281" spans="2:9" x14ac:dyDescent="0.25">
      <c r="B2281" s="23"/>
      <c r="I2281" s="26"/>
    </row>
    <row r="2282" spans="2:9" x14ac:dyDescent="0.25">
      <c r="B2282" s="23"/>
      <c r="C2282" s="51" t="s">
        <v>55</v>
      </c>
      <c r="D2282" s="46"/>
      <c r="E2282" s="46"/>
      <c r="F2282" s="46"/>
      <c r="G2282" s="46"/>
      <c r="H2282" s="46"/>
      <c r="I2282" s="47"/>
    </row>
    <row r="2283" spans="2:9" x14ac:dyDescent="0.25">
      <c r="B2283" s="23"/>
      <c r="I2283" s="26"/>
    </row>
    <row r="2284" spans="2:9" ht="63.4" customHeight="1" x14ac:dyDescent="0.25">
      <c r="B2284" s="24" t="s">
        <v>1771</v>
      </c>
      <c r="C2284" s="19" t="s">
        <v>220</v>
      </c>
      <c r="D2284" s="52" t="s">
        <v>1772</v>
      </c>
      <c r="E2284" s="53"/>
      <c r="F2284" s="53"/>
      <c r="G2284" s="53"/>
      <c r="H2284" s="53"/>
      <c r="I2284" s="54"/>
    </row>
    <row r="2285" spans="2:9" x14ac:dyDescent="0.25">
      <c r="B2285" s="23"/>
      <c r="C2285" s="2" t="s">
        <v>222</v>
      </c>
      <c r="I2285" s="26"/>
    </row>
    <row r="2286" spans="2:9" x14ac:dyDescent="0.25">
      <c r="B2286" s="23"/>
      <c r="I2286" s="26"/>
    </row>
    <row r="2287" spans="2:9" x14ac:dyDescent="0.25">
      <c r="B2287" s="23"/>
      <c r="C2287" s="51" t="s">
        <v>55</v>
      </c>
      <c r="D2287" s="46"/>
      <c r="E2287" s="46"/>
      <c r="F2287" s="46"/>
      <c r="G2287" s="46"/>
      <c r="H2287" s="46"/>
      <c r="I2287" s="47"/>
    </row>
    <row r="2288" spans="2:9" x14ac:dyDescent="0.25">
      <c r="B2288" s="25"/>
      <c r="C2288" s="21"/>
      <c r="D2288" s="21"/>
      <c r="E2288" s="21"/>
      <c r="F2288" s="21"/>
      <c r="G2288" s="21"/>
      <c r="H2288" s="21"/>
      <c r="I2288" s="27"/>
    </row>
    <row r="2290" spans="1:10" x14ac:dyDescent="0.25">
      <c r="B2290" s="3" t="s">
        <v>82</v>
      </c>
    </row>
    <row r="2291" spans="1:10" ht="19.899999999999999" customHeight="1" x14ac:dyDescent="0.25">
      <c r="B2291" s="29" t="s">
        <v>1773</v>
      </c>
      <c r="C2291" s="42" t="s">
        <v>1774</v>
      </c>
      <c r="D2291" s="43"/>
      <c r="E2291" s="43"/>
      <c r="F2291" s="43"/>
      <c r="G2291" s="43"/>
      <c r="H2291" s="43"/>
      <c r="I2291" s="44"/>
    </row>
    <row r="2292" spans="1:10" ht="19.899999999999999" customHeight="1" x14ac:dyDescent="0.25">
      <c r="B2292" s="30" t="s">
        <v>1775</v>
      </c>
      <c r="C2292" s="52" t="s">
        <v>1776</v>
      </c>
      <c r="D2292" s="53"/>
      <c r="E2292" s="46"/>
      <c r="F2292" s="46"/>
      <c r="G2292" s="46"/>
      <c r="H2292" s="46"/>
      <c r="I2292" s="47"/>
    </row>
    <row r="2293" spans="1:10" ht="19.899999999999999" customHeight="1" x14ac:dyDescent="0.25">
      <c r="B2293" s="30" t="s">
        <v>1777</v>
      </c>
      <c r="C2293" s="52" t="s">
        <v>1778</v>
      </c>
      <c r="D2293" s="53"/>
      <c r="E2293" s="46"/>
      <c r="F2293" s="46"/>
      <c r="G2293" s="46"/>
      <c r="H2293" s="46"/>
      <c r="I2293" s="47"/>
      <c r="J2293" s="17" t="str">
        <f>HYPERLINK("#'Ändringshistorik'!C258", "Ändringshistorik: [114]")</f>
        <v>Ändringshistorik: [114]</v>
      </c>
    </row>
    <row r="2294" spans="1:10" ht="19.899999999999999" customHeight="1" x14ac:dyDescent="0.25">
      <c r="B2294" s="30" t="s">
        <v>1779</v>
      </c>
      <c r="C2294" s="52" t="s">
        <v>1722</v>
      </c>
      <c r="D2294" s="53"/>
      <c r="E2294" s="46"/>
      <c r="F2294" s="46"/>
      <c r="G2294" s="46"/>
      <c r="H2294" s="46"/>
      <c r="I2294" s="47"/>
    </row>
    <row r="2295" spans="1:10" ht="19.899999999999999" customHeight="1" x14ac:dyDescent="0.25">
      <c r="B2295" s="30" t="s">
        <v>1780</v>
      </c>
      <c r="C2295" s="52" t="s">
        <v>1724</v>
      </c>
      <c r="D2295" s="53"/>
      <c r="E2295" s="46"/>
      <c r="F2295" s="46"/>
      <c r="G2295" s="46"/>
      <c r="H2295" s="46"/>
      <c r="I2295" s="47"/>
    </row>
    <row r="2296" spans="1:10" ht="19.899999999999999" customHeight="1" x14ac:dyDescent="0.25">
      <c r="B2296" s="31" t="s">
        <v>1781</v>
      </c>
      <c r="C2296" s="59" t="s">
        <v>1728</v>
      </c>
      <c r="D2296" s="60"/>
      <c r="E2296" s="49"/>
      <c r="F2296" s="49"/>
      <c r="G2296" s="49"/>
      <c r="H2296" s="49"/>
      <c r="I2296" s="50"/>
    </row>
    <row r="2300" spans="1:10" ht="77.849999999999994" customHeight="1" x14ac:dyDescent="0.25">
      <c r="A2300" s="45" t="s">
        <v>25</v>
      </c>
      <c r="B2300" s="46"/>
      <c r="C2300" s="46"/>
      <c r="D2300" s="46"/>
      <c r="E2300" s="46"/>
      <c r="F2300" s="46"/>
      <c r="G2300" s="46"/>
      <c r="H2300" s="46"/>
      <c r="I2300" s="46"/>
    </row>
    <row r="2301" spans="1:10" ht="18.75" x14ac:dyDescent="0.25">
      <c r="A2301" s="16" t="s">
        <v>1782</v>
      </c>
      <c r="B2301" s="3" t="s">
        <v>47</v>
      </c>
    </row>
    <row r="2302" spans="1:10" ht="34.35" customHeight="1" x14ac:dyDescent="0.25">
      <c r="B2302" s="22" t="s">
        <v>1783</v>
      </c>
      <c r="C2302" s="32" t="s">
        <v>213</v>
      </c>
      <c r="D2302" s="42" t="s">
        <v>1784</v>
      </c>
      <c r="E2302" s="43"/>
      <c r="F2302" s="43"/>
      <c r="G2302" s="43"/>
      <c r="H2302" s="43"/>
      <c r="I2302" s="44"/>
    </row>
    <row r="2303" spans="1:10" x14ac:dyDescent="0.25">
      <c r="B2303" s="23"/>
      <c r="I2303" s="26"/>
    </row>
    <row r="2304" spans="1:10" x14ac:dyDescent="0.25">
      <c r="B2304" s="23"/>
      <c r="C2304" s="51" t="s">
        <v>55</v>
      </c>
      <c r="D2304" s="46"/>
      <c r="E2304" s="46"/>
      <c r="F2304" s="46"/>
      <c r="G2304" s="46"/>
      <c r="H2304" s="46"/>
      <c r="I2304" s="47"/>
    </row>
    <row r="2305" spans="2:9" x14ac:dyDescent="0.25">
      <c r="B2305" s="23"/>
      <c r="I2305" s="26"/>
    </row>
    <row r="2306" spans="2:9" ht="63.4" customHeight="1" x14ac:dyDescent="0.25">
      <c r="B2306" s="24" t="s">
        <v>1785</v>
      </c>
      <c r="C2306" s="19" t="s">
        <v>213</v>
      </c>
      <c r="D2306" s="52" t="s">
        <v>1786</v>
      </c>
      <c r="E2306" s="53"/>
      <c r="F2306" s="53"/>
      <c r="G2306" s="53"/>
      <c r="H2306" s="53"/>
      <c r="I2306" s="54"/>
    </row>
    <row r="2307" spans="2:9" x14ac:dyDescent="0.25">
      <c r="B2307" s="23"/>
      <c r="I2307" s="26"/>
    </row>
    <row r="2308" spans="2:9" x14ac:dyDescent="0.25">
      <c r="B2308" s="23"/>
      <c r="C2308" s="55" t="s">
        <v>60</v>
      </c>
      <c r="D2308" s="46"/>
      <c r="E2308" s="46"/>
      <c r="F2308" s="46"/>
      <c r="G2308" s="46"/>
      <c r="H2308" s="46"/>
      <c r="I2308" s="47"/>
    </row>
    <row r="2309" spans="2:9" x14ac:dyDescent="0.25">
      <c r="B2309" s="23"/>
      <c r="I2309" s="26"/>
    </row>
    <row r="2310" spans="2:9" ht="19.899999999999999" customHeight="1" x14ac:dyDescent="0.25">
      <c r="B2310" s="24" t="s">
        <v>1787</v>
      </c>
      <c r="C2310" s="18" t="s">
        <v>49</v>
      </c>
      <c r="D2310" s="52" t="s">
        <v>1788</v>
      </c>
      <c r="E2310" s="53"/>
      <c r="F2310" s="53"/>
      <c r="G2310" s="53"/>
      <c r="H2310" s="53"/>
      <c r="I2310" s="54"/>
    </row>
    <row r="2311" spans="2:9" ht="19.899999999999999" customHeight="1" x14ac:dyDescent="0.25">
      <c r="B2311" s="23"/>
      <c r="C2311" s="2" t="s">
        <v>1789</v>
      </c>
      <c r="D2311" s="45" t="s">
        <v>1790</v>
      </c>
      <c r="E2311" s="46"/>
      <c r="F2311" s="46"/>
      <c r="G2311" s="46"/>
      <c r="H2311" s="46"/>
      <c r="I2311" s="47"/>
    </row>
    <row r="2312" spans="2:9" ht="19.899999999999999" customHeight="1" x14ac:dyDescent="0.25">
      <c r="B2312" s="23"/>
      <c r="C2312" s="2" t="s">
        <v>1791</v>
      </c>
      <c r="D2312" s="45" t="s">
        <v>1792</v>
      </c>
      <c r="E2312" s="46"/>
      <c r="F2312" s="46"/>
      <c r="G2312" s="46"/>
      <c r="H2312" s="46"/>
      <c r="I2312" s="47"/>
    </row>
    <row r="2313" spans="2:9" ht="19.899999999999999" customHeight="1" x14ac:dyDescent="0.25">
      <c r="B2313" s="23"/>
      <c r="C2313" s="2" t="s">
        <v>1793</v>
      </c>
      <c r="D2313" s="45" t="s">
        <v>1794</v>
      </c>
      <c r="E2313" s="46"/>
      <c r="F2313" s="46"/>
      <c r="G2313" s="46"/>
      <c r="H2313" s="46"/>
      <c r="I2313" s="47"/>
    </row>
    <row r="2314" spans="2:9" ht="19.899999999999999" customHeight="1" x14ac:dyDescent="0.25">
      <c r="B2314" s="23"/>
      <c r="C2314" s="2" t="s">
        <v>1795</v>
      </c>
      <c r="D2314" s="45" t="s">
        <v>1796</v>
      </c>
      <c r="E2314" s="46"/>
      <c r="F2314" s="46"/>
      <c r="G2314" s="46"/>
      <c r="H2314" s="46"/>
      <c r="I2314" s="47"/>
    </row>
    <row r="2315" spans="2:9" ht="19.899999999999999" customHeight="1" x14ac:dyDescent="0.25">
      <c r="B2315" s="23"/>
      <c r="C2315" s="2" t="s">
        <v>1797</v>
      </c>
      <c r="D2315" s="45" t="s">
        <v>1798</v>
      </c>
      <c r="E2315" s="46"/>
      <c r="F2315" s="46"/>
      <c r="G2315" s="46"/>
      <c r="H2315" s="46"/>
      <c r="I2315" s="47"/>
    </row>
    <row r="2316" spans="2:9" ht="19.899999999999999" customHeight="1" x14ac:dyDescent="0.25">
      <c r="B2316" s="23"/>
      <c r="C2316" s="2" t="s">
        <v>1799</v>
      </c>
      <c r="D2316" s="45" t="s">
        <v>1800</v>
      </c>
      <c r="E2316" s="46"/>
      <c r="F2316" s="46"/>
      <c r="G2316" s="46"/>
      <c r="H2316" s="46"/>
      <c r="I2316" s="47"/>
    </row>
    <row r="2317" spans="2:9" ht="19.899999999999999" customHeight="1" x14ac:dyDescent="0.25">
      <c r="B2317" s="23"/>
      <c r="C2317" s="2" t="s">
        <v>1801</v>
      </c>
      <c r="D2317" s="45" t="s">
        <v>1802</v>
      </c>
      <c r="E2317" s="46"/>
      <c r="F2317" s="46"/>
      <c r="G2317" s="46"/>
      <c r="H2317" s="46"/>
      <c r="I2317" s="47"/>
    </row>
    <row r="2318" spans="2:9" ht="19.899999999999999" customHeight="1" x14ac:dyDescent="0.25">
      <c r="B2318" s="23"/>
      <c r="C2318" s="2" t="s">
        <v>1803</v>
      </c>
      <c r="D2318" s="45" t="s">
        <v>1804</v>
      </c>
      <c r="E2318" s="46"/>
      <c r="F2318" s="46"/>
      <c r="G2318" s="46"/>
      <c r="H2318" s="46"/>
      <c r="I2318" s="47"/>
    </row>
    <row r="2319" spans="2:9" x14ac:dyDescent="0.25">
      <c r="B2319" s="23"/>
      <c r="I2319" s="26"/>
    </row>
    <row r="2320" spans="2:9" x14ac:dyDescent="0.25">
      <c r="B2320" s="23"/>
      <c r="C2320" s="55" t="s">
        <v>60</v>
      </c>
      <c r="D2320" s="46"/>
      <c r="E2320" s="46"/>
      <c r="F2320" s="46"/>
      <c r="G2320" s="46"/>
      <c r="H2320" s="46"/>
      <c r="I2320" s="47"/>
    </row>
    <row r="2321" spans="2:10" x14ac:dyDescent="0.25">
      <c r="B2321" s="23"/>
      <c r="I2321" s="26"/>
    </row>
    <row r="2322" spans="2:10" ht="34.35" customHeight="1" x14ac:dyDescent="0.25">
      <c r="B2322" s="24" t="s">
        <v>1650</v>
      </c>
      <c r="C2322" s="19" t="s">
        <v>69</v>
      </c>
      <c r="D2322" s="52" t="s">
        <v>1805</v>
      </c>
      <c r="E2322" s="53"/>
      <c r="F2322" s="53"/>
      <c r="G2322" s="53"/>
      <c r="H2322" s="53"/>
      <c r="I2322" s="54"/>
    </row>
    <row r="2323" spans="2:10" x14ac:dyDescent="0.25">
      <c r="B2323" s="23"/>
      <c r="C2323" s="2" t="s">
        <v>455</v>
      </c>
      <c r="I2323" s="26"/>
    </row>
    <row r="2324" spans="2:10" x14ac:dyDescent="0.25">
      <c r="B2324" s="23"/>
      <c r="I2324" s="26"/>
    </row>
    <row r="2325" spans="2:10" x14ac:dyDescent="0.25">
      <c r="B2325" s="23"/>
      <c r="C2325" s="51" t="s">
        <v>55</v>
      </c>
      <c r="D2325" s="46"/>
      <c r="E2325" s="46"/>
      <c r="F2325" s="46"/>
      <c r="G2325" s="46"/>
      <c r="H2325" s="46"/>
      <c r="I2325" s="47"/>
    </row>
    <row r="2326" spans="2:10" x14ac:dyDescent="0.25">
      <c r="B2326" s="25"/>
      <c r="C2326" s="21"/>
      <c r="D2326" s="21"/>
      <c r="E2326" s="21"/>
      <c r="F2326" s="21"/>
      <c r="G2326" s="21"/>
      <c r="H2326" s="21"/>
      <c r="I2326" s="27"/>
    </row>
    <row r="2328" spans="2:10" x14ac:dyDescent="0.25">
      <c r="B2328" s="3" t="s">
        <v>79</v>
      </c>
    </row>
    <row r="2329" spans="2:10" ht="34.35" customHeight="1" x14ac:dyDescent="0.25">
      <c r="B2329" s="28" t="s">
        <v>1806</v>
      </c>
      <c r="C2329" s="56" t="s">
        <v>1807</v>
      </c>
      <c r="D2329" s="57"/>
      <c r="E2329" s="57"/>
      <c r="F2329" s="57"/>
      <c r="G2329" s="57"/>
      <c r="H2329" s="57"/>
      <c r="I2329" s="58"/>
    </row>
    <row r="2331" spans="2:10" x14ac:dyDescent="0.25">
      <c r="B2331" s="3" t="s">
        <v>82</v>
      </c>
    </row>
    <row r="2332" spans="2:10" ht="19.899999999999999" customHeight="1" x14ac:dyDescent="0.25">
      <c r="B2332" s="29" t="s">
        <v>1808</v>
      </c>
      <c r="C2332" s="42" t="s">
        <v>1809</v>
      </c>
      <c r="D2332" s="43"/>
      <c r="E2332" s="43"/>
      <c r="F2332" s="43"/>
      <c r="G2332" s="43"/>
      <c r="H2332" s="43"/>
      <c r="I2332" s="44"/>
    </row>
    <row r="2333" spans="2:10" ht="19.899999999999999" customHeight="1" x14ac:dyDescent="0.25">
      <c r="B2333" s="30" t="s">
        <v>1810</v>
      </c>
      <c r="C2333" s="52" t="s">
        <v>1811</v>
      </c>
      <c r="D2333" s="53"/>
      <c r="E2333" s="46"/>
      <c r="F2333" s="46"/>
      <c r="G2333" s="46"/>
      <c r="H2333" s="46"/>
      <c r="I2333" s="47"/>
    </row>
    <row r="2334" spans="2:10" ht="19.899999999999999" customHeight="1" x14ac:dyDescent="0.25">
      <c r="B2334" s="30" t="s">
        <v>1812</v>
      </c>
      <c r="C2334" s="52" t="s">
        <v>1813</v>
      </c>
      <c r="D2334" s="53"/>
      <c r="E2334" s="46"/>
      <c r="F2334" s="46"/>
      <c r="G2334" s="46"/>
      <c r="H2334" s="46"/>
      <c r="I2334" s="47"/>
    </row>
    <row r="2335" spans="2:10" ht="48.95" customHeight="1" x14ac:dyDescent="0.25">
      <c r="B2335" s="30" t="s">
        <v>1814</v>
      </c>
      <c r="C2335" s="52" t="s">
        <v>1815</v>
      </c>
      <c r="D2335" s="53"/>
      <c r="E2335" s="46"/>
      <c r="F2335" s="46"/>
      <c r="G2335" s="46"/>
      <c r="H2335" s="46"/>
      <c r="I2335" s="47"/>
    </row>
    <row r="2336" spans="2:10" ht="164.65" customHeight="1" x14ac:dyDescent="0.25">
      <c r="B2336" s="30" t="s">
        <v>1816</v>
      </c>
      <c r="C2336" s="52" t="s">
        <v>1817</v>
      </c>
      <c r="D2336" s="53"/>
      <c r="E2336" s="46"/>
      <c r="F2336" s="46"/>
      <c r="G2336" s="46"/>
      <c r="H2336" s="46"/>
      <c r="I2336" s="47"/>
      <c r="J2336" s="17" t="str">
        <f>HYPERLINK("#'Ändringshistorik'!C259", "Ändringshistorik: [115]")</f>
        <v>Ändringshistorik: [115]</v>
      </c>
    </row>
    <row r="2337" spans="1:9" ht="19.899999999999999" customHeight="1" x14ac:dyDescent="0.25">
      <c r="B2337" s="30" t="s">
        <v>1818</v>
      </c>
      <c r="C2337" s="52" t="s">
        <v>1819</v>
      </c>
      <c r="D2337" s="53"/>
      <c r="E2337" s="46"/>
      <c r="F2337" s="46"/>
      <c r="G2337" s="46"/>
      <c r="H2337" s="46"/>
      <c r="I2337" s="47"/>
    </row>
    <row r="2338" spans="1:9" ht="19.899999999999999" customHeight="1" x14ac:dyDescent="0.25">
      <c r="B2338" s="30" t="s">
        <v>1820</v>
      </c>
      <c r="C2338" s="52" t="s">
        <v>1821</v>
      </c>
      <c r="D2338" s="53"/>
      <c r="E2338" s="46"/>
      <c r="F2338" s="46"/>
      <c r="G2338" s="46"/>
      <c r="H2338" s="46"/>
      <c r="I2338" s="47"/>
    </row>
    <row r="2339" spans="1:9" ht="19.899999999999999" customHeight="1" x14ac:dyDescent="0.25">
      <c r="B2339" s="31" t="s">
        <v>1822</v>
      </c>
      <c r="C2339" s="59" t="s">
        <v>1823</v>
      </c>
      <c r="D2339" s="60"/>
      <c r="E2339" s="49"/>
      <c r="F2339" s="49"/>
      <c r="G2339" s="49"/>
      <c r="H2339" s="49"/>
      <c r="I2339" s="50"/>
    </row>
    <row r="2343" spans="1:9" ht="106.7" customHeight="1" x14ac:dyDescent="0.25">
      <c r="A2343" s="45" t="s">
        <v>26</v>
      </c>
      <c r="B2343" s="46"/>
      <c r="C2343" s="46"/>
      <c r="D2343" s="46"/>
      <c r="E2343" s="46"/>
      <c r="F2343" s="46"/>
      <c r="G2343" s="46"/>
      <c r="H2343" s="46"/>
      <c r="I2343" s="46"/>
    </row>
    <row r="2344" spans="1:9" ht="18.75" x14ac:dyDescent="0.25">
      <c r="A2344" s="16" t="s">
        <v>1824</v>
      </c>
      <c r="B2344" s="3" t="s">
        <v>47</v>
      </c>
    </row>
    <row r="2345" spans="1:9" ht="34.35" customHeight="1" x14ac:dyDescent="0.25">
      <c r="B2345" s="22" t="s">
        <v>1825</v>
      </c>
      <c r="C2345" s="32" t="s">
        <v>220</v>
      </c>
      <c r="D2345" s="42" t="s">
        <v>1826</v>
      </c>
      <c r="E2345" s="43"/>
      <c r="F2345" s="43"/>
      <c r="G2345" s="43"/>
      <c r="H2345" s="43"/>
      <c r="I2345" s="44"/>
    </row>
    <row r="2346" spans="1:9" x14ac:dyDescent="0.25">
      <c r="B2346" s="23"/>
      <c r="C2346" s="2" t="s">
        <v>222</v>
      </c>
      <c r="I2346" s="26"/>
    </row>
    <row r="2347" spans="1:9" x14ac:dyDescent="0.25">
      <c r="B2347" s="23"/>
      <c r="I2347" s="26"/>
    </row>
    <row r="2348" spans="1:9" x14ac:dyDescent="0.25">
      <c r="B2348" s="23"/>
      <c r="C2348" s="51" t="s">
        <v>55</v>
      </c>
      <c r="D2348" s="46"/>
      <c r="E2348" s="46"/>
      <c r="F2348" s="46"/>
      <c r="G2348" s="46"/>
      <c r="H2348" s="46"/>
      <c r="I2348" s="47"/>
    </row>
    <row r="2349" spans="1:9" x14ac:dyDescent="0.25">
      <c r="B2349" s="23"/>
      <c r="I2349" s="26"/>
    </row>
    <row r="2350" spans="1:9" ht="34.35" customHeight="1" x14ac:dyDescent="0.25">
      <c r="B2350" s="24" t="s">
        <v>1827</v>
      </c>
      <c r="C2350" s="19" t="s">
        <v>69</v>
      </c>
      <c r="D2350" s="52" t="s">
        <v>1828</v>
      </c>
      <c r="E2350" s="53"/>
      <c r="F2350" s="53"/>
      <c r="G2350" s="53"/>
      <c r="H2350" s="53"/>
      <c r="I2350" s="54"/>
    </row>
    <row r="2351" spans="1:9" x14ac:dyDescent="0.25">
      <c r="B2351" s="23"/>
      <c r="C2351" s="2" t="s">
        <v>455</v>
      </c>
      <c r="I2351" s="26"/>
    </row>
    <row r="2352" spans="1:9" x14ac:dyDescent="0.25">
      <c r="B2352" s="23"/>
      <c r="I2352" s="26"/>
    </row>
    <row r="2353" spans="1:10" x14ac:dyDescent="0.25">
      <c r="B2353" s="23"/>
      <c r="C2353" s="51" t="s">
        <v>55</v>
      </c>
      <c r="D2353" s="46"/>
      <c r="E2353" s="46"/>
      <c r="F2353" s="46"/>
      <c r="G2353" s="46"/>
      <c r="H2353" s="46"/>
      <c r="I2353" s="47"/>
    </row>
    <row r="2354" spans="1:10" x14ac:dyDescent="0.25">
      <c r="B2354" s="25"/>
      <c r="C2354" s="21"/>
      <c r="D2354" s="21"/>
      <c r="E2354" s="21"/>
      <c r="F2354" s="21"/>
      <c r="G2354" s="21"/>
      <c r="H2354" s="21"/>
      <c r="I2354" s="27"/>
    </row>
    <row r="2356" spans="1:10" x14ac:dyDescent="0.25">
      <c r="B2356" s="3" t="s">
        <v>79</v>
      </c>
    </row>
    <row r="2357" spans="1:10" ht="34.35" customHeight="1" x14ac:dyDescent="0.25">
      <c r="B2357" s="28" t="s">
        <v>1829</v>
      </c>
      <c r="C2357" s="56" t="s">
        <v>1830</v>
      </c>
      <c r="D2357" s="57"/>
      <c r="E2357" s="57"/>
      <c r="F2357" s="57"/>
      <c r="G2357" s="57"/>
      <c r="H2357" s="57"/>
      <c r="I2357" s="58"/>
    </row>
    <row r="2359" spans="1:10" x14ac:dyDescent="0.25">
      <c r="B2359" s="3" t="s">
        <v>82</v>
      </c>
    </row>
    <row r="2360" spans="1:10" ht="48.95" customHeight="1" x14ac:dyDescent="0.25">
      <c r="B2360" s="29" t="s">
        <v>1831</v>
      </c>
      <c r="C2360" s="42" t="s">
        <v>1832</v>
      </c>
      <c r="D2360" s="43"/>
      <c r="E2360" s="43"/>
      <c r="F2360" s="43"/>
      <c r="G2360" s="43"/>
      <c r="H2360" s="43"/>
      <c r="I2360" s="44"/>
      <c r="J2360" s="17" t="str">
        <f>HYPERLINK("#'Ändringshistorik'!C260", "Ändringshistorik: [116]")</f>
        <v>Ändringshistorik: [116]</v>
      </c>
    </row>
    <row r="2361" spans="1:10" ht="19.899999999999999" customHeight="1" x14ac:dyDescent="0.25">
      <c r="B2361" s="30" t="s">
        <v>1833</v>
      </c>
      <c r="C2361" s="52" t="s">
        <v>1834</v>
      </c>
      <c r="D2361" s="53"/>
      <c r="E2361" s="46"/>
      <c r="F2361" s="46"/>
      <c r="G2361" s="46"/>
      <c r="H2361" s="46"/>
      <c r="I2361" s="47"/>
    </row>
    <row r="2362" spans="1:10" ht="19.899999999999999" customHeight="1" x14ac:dyDescent="0.25">
      <c r="B2362" s="31" t="s">
        <v>1835</v>
      </c>
      <c r="C2362" s="59" t="s">
        <v>1836</v>
      </c>
      <c r="D2362" s="60"/>
      <c r="E2362" s="49"/>
      <c r="F2362" s="49"/>
      <c r="G2362" s="49"/>
      <c r="H2362" s="49"/>
      <c r="I2362" s="50"/>
    </row>
    <row r="2366" spans="1:10" ht="19.899999999999999" customHeight="1" x14ac:dyDescent="0.25">
      <c r="A2366" s="45" t="s">
        <v>27</v>
      </c>
      <c r="B2366" s="46"/>
      <c r="C2366" s="46"/>
      <c r="D2366" s="46"/>
      <c r="E2366" s="46"/>
      <c r="F2366" s="46"/>
      <c r="G2366" s="46"/>
      <c r="H2366" s="46"/>
      <c r="I2366" s="46"/>
    </row>
    <row r="2367" spans="1:10" ht="18.75" x14ac:dyDescent="0.25">
      <c r="A2367" s="16" t="s">
        <v>1837</v>
      </c>
      <c r="B2367" s="3" t="s">
        <v>47</v>
      </c>
      <c r="J2367" s="17" t="str">
        <f>HYPERLINK("#'Ändringshistorik'!C137", "Ändringshistorik: [221]")</f>
        <v>Ändringshistorik: [221]</v>
      </c>
    </row>
    <row r="2368" spans="1:10" ht="19.899999999999999" customHeight="1" x14ac:dyDescent="0.25">
      <c r="B2368" s="22" t="s">
        <v>958</v>
      </c>
      <c r="C2368" s="32" t="s">
        <v>73</v>
      </c>
      <c r="D2368" s="42" t="s">
        <v>1838</v>
      </c>
      <c r="E2368" s="43"/>
      <c r="F2368" s="43"/>
      <c r="G2368" s="43"/>
      <c r="H2368" s="43"/>
      <c r="I2368" s="44"/>
    </row>
    <row r="2369" spans="2:9" x14ac:dyDescent="0.25">
      <c r="B2369" s="23"/>
      <c r="I2369" s="26"/>
    </row>
    <row r="2370" spans="2:9" x14ac:dyDescent="0.25">
      <c r="B2370" s="23"/>
      <c r="C2370" s="51" t="s">
        <v>55</v>
      </c>
      <c r="D2370" s="46"/>
      <c r="E2370" s="46"/>
      <c r="F2370" s="46"/>
      <c r="G2370" s="46"/>
      <c r="H2370" s="46"/>
      <c r="I2370" s="47"/>
    </row>
    <row r="2371" spans="2:9" x14ac:dyDescent="0.25">
      <c r="B2371" s="23"/>
      <c r="I2371" s="26"/>
    </row>
    <row r="2372" spans="2:9" ht="19.899999999999999" customHeight="1" x14ac:dyDescent="0.25">
      <c r="B2372" s="24" t="s">
        <v>1679</v>
      </c>
      <c r="C2372" s="18" t="s">
        <v>49</v>
      </c>
      <c r="D2372" s="52" t="s">
        <v>1839</v>
      </c>
      <c r="E2372" s="53"/>
      <c r="F2372" s="53"/>
      <c r="G2372" s="53"/>
      <c r="H2372" s="53"/>
      <c r="I2372" s="54"/>
    </row>
    <row r="2373" spans="2:9" ht="19.899999999999999" customHeight="1" x14ac:dyDescent="0.25">
      <c r="B2373" s="23"/>
      <c r="C2373" s="2" t="s">
        <v>1681</v>
      </c>
      <c r="D2373" s="45" t="s">
        <v>1682</v>
      </c>
      <c r="E2373" s="46"/>
      <c r="F2373" s="46"/>
      <c r="G2373" s="46"/>
      <c r="H2373" s="46"/>
      <c r="I2373" s="47"/>
    </row>
    <row r="2374" spans="2:9" ht="19.899999999999999" customHeight="1" x14ac:dyDescent="0.25">
      <c r="B2374" s="23"/>
      <c r="C2374" s="2" t="s">
        <v>1683</v>
      </c>
      <c r="D2374" s="45" t="s">
        <v>1684</v>
      </c>
      <c r="E2374" s="46"/>
      <c r="F2374" s="46"/>
      <c r="G2374" s="46"/>
      <c r="H2374" s="46"/>
      <c r="I2374" s="47"/>
    </row>
    <row r="2375" spans="2:9" ht="19.899999999999999" customHeight="1" x14ac:dyDescent="0.25">
      <c r="B2375" s="23"/>
      <c r="C2375" s="2" t="s">
        <v>1685</v>
      </c>
      <c r="D2375" s="45" t="s">
        <v>1686</v>
      </c>
      <c r="E2375" s="46"/>
      <c r="F2375" s="46"/>
      <c r="G2375" s="46"/>
      <c r="H2375" s="46"/>
      <c r="I2375" s="47"/>
    </row>
    <row r="2376" spans="2:9" x14ac:dyDescent="0.25">
      <c r="B2376" s="23"/>
      <c r="I2376" s="26"/>
    </row>
    <row r="2377" spans="2:9" x14ac:dyDescent="0.25">
      <c r="B2377" s="23"/>
      <c r="C2377" s="51" t="s">
        <v>55</v>
      </c>
      <c r="D2377" s="46"/>
      <c r="E2377" s="46"/>
      <c r="F2377" s="46"/>
      <c r="G2377" s="46"/>
      <c r="H2377" s="46"/>
      <c r="I2377" s="47"/>
    </row>
    <row r="2378" spans="2:9" x14ac:dyDescent="0.25">
      <c r="B2378" s="23"/>
      <c r="I2378" s="26"/>
    </row>
    <row r="2379" spans="2:9" ht="48.95" customHeight="1" x14ac:dyDescent="0.25">
      <c r="B2379" s="24" t="s">
        <v>1840</v>
      </c>
      <c r="C2379" s="19" t="s">
        <v>220</v>
      </c>
      <c r="D2379" s="52" t="s">
        <v>1841</v>
      </c>
      <c r="E2379" s="53"/>
      <c r="F2379" s="53"/>
      <c r="G2379" s="53"/>
      <c r="H2379" s="53"/>
      <c r="I2379" s="54"/>
    </row>
    <row r="2380" spans="2:9" x14ac:dyDescent="0.25">
      <c r="B2380" s="23"/>
      <c r="C2380" s="2" t="s">
        <v>222</v>
      </c>
      <c r="I2380" s="26"/>
    </row>
    <row r="2381" spans="2:9" x14ac:dyDescent="0.25">
      <c r="B2381" s="23"/>
      <c r="I2381" s="26"/>
    </row>
    <row r="2382" spans="2:9" x14ac:dyDescent="0.25">
      <c r="B2382" s="23"/>
      <c r="C2382" s="51" t="s">
        <v>55</v>
      </c>
      <c r="D2382" s="46"/>
      <c r="E2382" s="46"/>
      <c r="F2382" s="46"/>
      <c r="G2382" s="46"/>
      <c r="H2382" s="46"/>
      <c r="I2382" s="47"/>
    </row>
    <row r="2383" spans="2:9" x14ac:dyDescent="0.25">
      <c r="B2383" s="23"/>
      <c r="I2383" s="26"/>
    </row>
    <row r="2384" spans="2:9" ht="19.899999999999999" customHeight="1" x14ac:dyDescent="0.25">
      <c r="B2384" s="24" t="s">
        <v>1842</v>
      </c>
      <c r="C2384" s="19" t="s">
        <v>220</v>
      </c>
      <c r="D2384" s="52" t="s">
        <v>1843</v>
      </c>
      <c r="E2384" s="53"/>
      <c r="F2384" s="53"/>
      <c r="G2384" s="53"/>
      <c r="H2384" s="53"/>
      <c r="I2384" s="54"/>
    </row>
    <row r="2385" spans="2:9" x14ac:dyDescent="0.25">
      <c r="B2385" s="23"/>
      <c r="C2385" s="2" t="s">
        <v>222</v>
      </c>
      <c r="I2385" s="26"/>
    </row>
    <row r="2386" spans="2:9" x14ac:dyDescent="0.25">
      <c r="B2386" s="23"/>
      <c r="I2386" s="26"/>
    </row>
    <row r="2387" spans="2:9" x14ac:dyDescent="0.25">
      <c r="B2387" s="23"/>
      <c r="C2387" s="55" t="s">
        <v>60</v>
      </c>
      <c r="D2387" s="46"/>
      <c r="E2387" s="46"/>
      <c r="F2387" s="46"/>
      <c r="G2387" s="46"/>
      <c r="H2387" s="46"/>
      <c r="I2387" s="47"/>
    </row>
    <row r="2388" spans="2:9" x14ac:dyDescent="0.25">
      <c r="B2388" s="23"/>
      <c r="I2388" s="26"/>
    </row>
    <row r="2389" spans="2:9" ht="48.95" customHeight="1" x14ac:dyDescent="0.25">
      <c r="B2389" s="24" t="s">
        <v>1844</v>
      </c>
      <c r="C2389" s="19" t="s">
        <v>220</v>
      </c>
      <c r="D2389" s="52" t="s">
        <v>1845</v>
      </c>
      <c r="E2389" s="53"/>
      <c r="F2389" s="53"/>
      <c r="G2389" s="53"/>
      <c r="H2389" s="53"/>
      <c r="I2389" s="54"/>
    </row>
    <row r="2390" spans="2:9" x14ac:dyDescent="0.25">
      <c r="B2390" s="23"/>
      <c r="C2390" s="2" t="s">
        <v>222</v>
      </c>
      <c r="I2390" s="26"/>
    </row>
    <row r="2391" spans="2:9" x14ac:dyDescent="0.25">
      <c r="B2391" s="23"/>
      <c r="I2391" s="26"/>
    </row>
    <row r="2392" spans="2:9" x14ac:dyDescent="0.25">
      <c r="B2392" s="23"/>
      <c r="C2392" s="55" t="s">
        <v>60</v>
      </c>
      <c r="D2392" s="46"/>
      <c r="E2392" s="46"/>
      <c r="F2392" s="46"/>
      <c r="G2392" s="46"/>
      <c r="H2392" s="46"/>
      <c r="I2392" s="47"/>
    </row>
    <row r="2393" spans="2:9" x14ac:dyDescent="0.25">
      <c r="B2393" s="23"/>
      <c r="I2393" s="26"/>
    </row>
    <row r="2394" spans="2:9" ht="19.899999999999999" customHeight="1" x14ac:dyDescent="0.25">
      <c r="B2394" s="24" t="s">
        <v>1846</v>
      </c>
      <c r="C2394" s="18" t="s">
        <v>49</v>
      </c>
      <c r="D2394" s="52" t="s">
        <v>1847</v>
      </c>
      <c r="E2394" s="53"/>
      <c r="F2394" s="53"/>
      <c r="G2394" s="53"/>
      <c r="H2394" s="53"/>
      <c r="I2394" s="54"/>
    </row>
    <row r="2395" spans="2:9" ht="19.899999999999999" customHeight="1" x14ac:dyDescent="0.25">
      <c r="B2395" s="23"/>
      <c r="C2395" s="2" t="s">
        <v>1429</v>
      </c>
      <c r="D2395" s="45" t="s">
        <v>1430</v>
      </c>
      <c r="E2395" s="46"/>
      <c r="F2395" s="46"/>
      <c r="G2395" s="46"/>
      <c r="H2395" s="46"/>
      <c r="I2395" s="47"/>
    </row>
    <row r="2396" spans="2:9" ht="19.899999999999999" customHeight="1" x14ac:dyDescent="0.25">
      <c r="B2396" s="23"/>
      <c r="C2396" s="2" t="s">
        <v>289</v>
      </c>
      <c r="D2396" s="45" t="s">
        <v>635</v>
      </c>
      <c r="E2396" s="46"/>
      <c r="F2396" s="46"/>
      <c r="G2396" s="46"/>
      <c r="H2396" s="46"/>
      <c r="I2396" s="47"/>
    </row>
    <row r="2397" spans="2:9" ht="19.899999999999999" customHeight="1" x14ac:dyDescent="0.25">
      <c r="B2397" s="23"/>
      <c r="C2397" s="2" t="s">
        <v>1431</v>
      </c>
      <c r="D2397" s="45" t="s">
        <v>1432</v>
      </c>
      <c r="E2397" s="46"/>
      <c r="F2397" s="46"/>
      <c r="G2397" s="46"/>
      <c r="H2397" s="46"/>
      <c r="I2397" s="47"/>
    </row>
    <row r="2398" spans="2:9" ht="19.899999999999999" customHeight="1" x14ac:dyDescent="0.25">
      <c r="B2398" s="23"/>
      <c r="C2398" s="2" t="s">
        <v>1848</v>
      </c>
      <c r="D2398" s="45" t="s">
        <v>1849</v>
      </c>
      <c r="E2398" s="46"/>
      <c r="F2398" s="46"/>
      <c r="G2398" s="46"/>
      <c r="H2398" s="46"/>
      <c r="I2398" s="47"/>
    </row>
    <row r="2399" spans="2:9" x14ac:dyDescent="0.25">
      <c r="B2399" s="23"/>
      <c r="I2399" s="26"/>
    </row>
    <row r="2400" spans="2:9" x14ac:dyDescent="0.25">
      <c r="B2400" s="23"/>
      <c r="C2400" s="55" t="s">
        <v>60</v>
      </c>
      <c r="D2400" s="46"/>
      <c r="E2400" s="46"/>
      <c r="F2400" s="46"/>
      <c r="G2400" s="46"/>
      <c r="H2400" s="46"/>
      <c r="I2400" s="47"/>
    </row>
    <row r="2401" spans="1:10" x14ac:dyDescent="0.25">
      <c r="B2401" s="25"/>
      <c r="C2401" s="21"/>
      <c r="D2401" s="21"/>
      <c r="E2401" s="21"/>
      <c r="F2401" s="21"/>
      <c r="G2401" s="21"/>
      <c r="H2401" s="21"/>
      <c r="I2401" s="27"/>
    </row>
    <row r="2403" spans="1:10" x14ac:dyDescent="0.25">
      <c r="B2403" s="3" t="s">
        <v>82</v>
      </c>
    </row>
    <row r="2404" spans="1:10" ht="34.35" customHeight="1" x14ac:dyDescent="0.25">
      <c r="B2404" s="29" t="s">
        <v>1850</v>
      </c>
      <c r="C2404" s="42" t="s">
        <v>1851</v>
      </c>
      <c r="D2404" s="43"/>
      <c r="E2404" s="43"/>
      <c r="F2404" s="43"/>
      <c r="G2404" s="43"/>
      <c r="H2404" s="43"/>
      <c r="I2404" s="44"/>
    </row>
    <row r="2405" spans="1:10" ht="19.899999999999999" customHeight="1" x14ac:dyDescent="0.25">
      <c r="B2405" s="30" t="s">
        <v>1852</v>
      </c>
      <c r="C2405" s="52" t="s">
        <v>1853</v>
      </c>
      <c r="D2405" s="53"/>
      <c r="E2405" s="46"/>
      <c r="F2405" s="46"/>
      <c r="G2405" s="46"/>
      <c r="H2405" s="46"/>
      <c r="I2405" s="47"/>
    </row>
    <row r="2406" spans="1:10" ht="19.899999999999999" customHeight="1" x14ac:dyDescent="0.25">
      <c r="B2406" s="30" t="s">
        <v>1854</v>
      </c>
      <c r="C2406" s="52" t="s">
        <v>1855</v>
      </c>
      <c r="D2406" s="53"/>
      <c r="E2406" s="46"/>
      <c r="F2406" s="46"/>
      <c r="G2406" s="46"/>
      <c r="H2406" s="46"/>
      <c r="I2406" s="47"/>
    </row>
    <row r="2407" spans="1:10" ht="19.899999999999999" customHeight="1" x14ac:dyDescent="0.25">
      <c r="B2407" s="31" t="s">
        <v>1856</v>
      </c>
      <c r="C2407" s="59" t="s">
        <v>1857</v>
      </c>
      <c r="D2407" s="60"/>
      <c r="E2407" s="49"/>
      <c r="F2407" s="49"/>
      <c r="G2407" s="49"/>
      <c r="H2407" s="49"/>
      <c r="I2407" s="50"/>
    </row>
    <row r="2411" spans="1:10" ht="19.899999999999999" customHeight="1" x14ac:dyDescent="0.25">
      <c r="A2411" s="45" t="s">
        <v>28</v>
      </c>
      <c r="B2411" s="46"/>
      <c r="C2411" s="46"/>
      <c r="D2411" s="46"/>
      <c r="E2411" s="46"/>
      <c r="F2411" s="46"/>
      <c r="G2411" s="46"/>
      <c r="H2411" s="46"/>
      <c r="I2411" s="46"/>
    </row>
    <row r="2412" spans="1:10" ht="18.75" x14ac:dyDescent="0.25">
      <c r="A2412" s="16" t="s">
        <v>1858</v>
      </c>
      <c r="B2412" s="3" t="s">
        <v>47</v>
      </c>
      <c r="J2412" s="17" t="str">
        <f>HYPERLINK("#'Ändringshistorik'!C350", "Ändringshistorik: [17] ,[27] ,[28] ,[194] ,[195] ,[222] ,[241] ,[257] ,[258] ,[259] ,[260] ,[261] ,[262] ,[263] ,[264] ,[265] ,[266] ,[267]")</f>
        <v>Ändringshistorik: [17] ,[27] ,[28] ,[194] ,[195] ,[222] ,[241] ,[257] ,[258] ,[259] ,[260] ,[261] ,[262] ,[263] ,[264] ,[265] ,[266] ,[267]</v>
      </c>
    </row>
    <row r="2413" spans="1:10" ht="19.899999999999999" customHeight="1" x14ac:dyDescent="0.25">
      <c r="B2413" s="22" t="s">
        <v>1859</v>
      </c>
      <c r="C2413" s="32" t="s">
        <v>220</v>
      </c>
      <c r="D2413" s="42" t="s">
        <v>1860</v>
      </c>
      <c r="E2413" s="43"/>
      <c r="F2413" s="43"/>
      <c r="G2413" s="43"/>
      <c r="H2413" s="43"/>
      <c r="I2413" s="44"/>
      <c r="J2413" s="17" t="str">
        <f>HYPERLINK("#'Ändringshistorik'!C8", "Ändringshistorik: [239]")</f>
        <v>Ändringshistorik: [239]</v>
      </c>
    </row>
    <row r="2414" spans="1:10" x14ac:dyDescent="0.25">
      <c r="B2414" s="23"/>
      <c r="C2414" s="2" t="s">
        <v>222</v>
      </c>
      <c r="I2414" s="26"/>
    </row>
    <row r="2415" spans="1:10" x14ac:dyDescent="0.25">
      <c r="B2415" s="23"/>
      <c r="I2415" s="26"/>
    </row>
    <row r="2416" spans="1:10" x14ac:dyDescent="0.25">
      <c r="B2416" s="23"/>
      <c r="C2416" s="51" t="s">
        <v>55</v>
      </c>
      <c r="D2416" s="46"/>
      <c r="E2416" s="46"/>
      <c r="F2416" s="46"/>
      <c r="G2416" s="46"/>
      <c r="H2416" s="46"/>
      <c r="I2416" s="47"/>
    </row>
    <row r="2417" spans="2:9" x14ac:dyDescent="0.25">
      <c r="B2417" s="23"/>
      <c r="I2417" s="26"/>
    </row>
    <row r="2418" spans="2:9" ht="34.35" customHeight="1" x14ac:dyDescent="0.25">
      <c r="B2418" s="24" t="s">
        <v>1861</v>
      </c>
      <c r="C2418" s="19" t="s">
        <v>213</v>
      </c>
      <c r="D2418" s="52" t="s">
        <v>1862</v>
      </c>
      <c r="E2418" s="53"/>
      <c r="F2418" s="53"/>
      <c r="G2418" s="53"/>
      <c r="H2418" s="53"/>
      <c r="I2418" s="54"/>
    </row>
    <row r="2419" spans="2:9" x14ac:dyDescent="0.25">
      <c r="B2419" s="23"/>
      <c r="I2419" s="26"/>
    </row>
    <row r="2420" spans="2:9" x14ac:dyDescent="0.25">
      <c r="B2420" s="23"/>
      <c r="C2420" s="55" t="s">
        <v>60</v>
      </c>
      <c r="D2420" s="46"/>
      <c r="E2420" s="46"/>
      <c r="F2420" s="46"/>
      <c r="G2420" s="46"/>
      <c r="H2420" s="46"/>
      <c r="I2420" s="47"/>
    </row>
    <row r="2421" spans="2:9" x14ac:dyDescent="0.25">
      <c r="B2421" s="23"/>
      <c r="I2421" s="26"/>
    </row>
    <row r="2422" spans="2:9" ht="19.899999999999999" customHeight="1" x14ac:dyDescent="0.25">
      <c r="B2422" s="24" t="s">
        <v>1863</v>
      </c>
      <c r="C2422" s="18" t="s">
        <v>49</v>
      </c>
      <c r="D2422" s="52" t="s">
        <v>1864</v>
      </c>
      <c r="E2422" s="53"/>
      <c r="F2422" s="53"/>
      <c r="G2422" s="53"/>
      <c r="H2422" s="53"/>
      <c r="I2422" s="54"/>
    </row>
    <row r="2423" spans="2:9" ht="19.899999999999999" customHeight="1" x14ac:dyDescent="0.25">
      <c r="B2423" s="23"/>
      <c r="C2423" s="2" t="s">
        <v>851</v>
      </c>
      <c r="D2423" s="45" t="s">
        <v>1865</v>
      </c>
      <c r="E2423" s="46"/>
      <c r="F2423" s="46"/>
      <c r="G2423" s="46"/>
      <c r="H2423" s="46"/>
      <c r="I2423" s="47"/>
    </row>
    <row r="2424" spans="2:9" ht="19.899999999999999" customHeight="1" x14ac:dyDescent="0.25">
      <c r="B2424" s="23"/>
      <c r="C2424" s="2" t="s">
        <v>657</v>
      </c>
      <c r="D2424" s="45" t="s">
        <v>1866</v>
      </c>
      <c r="E2424" s="46"/>
      <c r="F2424" s="46"/>
      <c r="G2424" s="46"/>
      <c r="H2424" s="46"/>
      <c r="I2424" s="47"/>
    </row>
    <row r="2425" spans="2:9" ht="19.899999999999999" customHeight="1" x14ac:dyDescent="0.25">
      <c r="B2425" s="23"/>
      <c r="C2425" s="2" t="s">
        <v>659</v>
      </c>
      <c r="D2425" s="45" t="s">
        <v>1867</v>
      </c>
      <c r="E2425" s="46"/>
      <c r="F2425" s="46"/>
      <c r="G2425" s="46"/>
      <c r="H2425" s="46"/>
      <c r="I2425" s="47"/>
    </row>
    <row r="2426" spans="2:9" ht="19.899999999999999" customHeight="1" x14ac:dyDescent="0.25">
      <c r="B2426" s="23"/>
      <c r="C2426" s="2" t="s">
        <v>661</v>
      </c>
      <c r="D2426" s="45" t="s">
        <v>1868</v>
      </c>
      <c r="E2426" s="46"/>
      <c r="F2426" s="46"/>
      <c r="G2426" s="46"/>
      <c r="H2426" s="46"/>
      <c r="I2426" s="47"/>
    </row>
    <row r="2427" spans="2:9" ht="19.899999999999999" customHeight="1" x14ac:dyDescent="0.25">
      <c r="B2427" s="23"/>
      <c r="C2427" s="2" t="s">
        <v>663</v>
      </c>
      <c r="D2427" s="45" t="s">
        <v>1869</v>
      </c>
      <c r="E2427" s="46"/>
      <c r="F2427" s="46"/>
      <c r="G2427" s="46"/>
      <c r="H2427" s="46"/>
      <c r="I2427" s="47"/>
    </row>
    <row r="2428" spans="2:9" ht="19.899999999999999" customHeight="1" x14ac:dyDescent="0.25">
      <c r="B2428" s="23"/>
      <c r="C2428" s="2" t="s">
        <v>671</v>
      </c>
      <c r="D2428" s="45" t="s">
        <v>1870</v>
      </c>
      <c r="E2428" s="46"/>
      <c r="F2428" s="46"/>
      <c r="G2428" s="46"/>
      <c r="H2428" s="46"/>
      <c r="I2428" s="47"/>
    </row>
    <row r="2429" spans="2:9" ht="19.899999999999999" customHeight="1" x14ac:dyDescent="0.25">
      <c r="B2429" s="23"/>
      <c r="C2429" s="2" t="s">
        <v>680</v>
      </c>
      <c r="D2429" s="45" t="s">
        <v>1871</v>
      </c>
      <c r="E2429" s="46"/>
      <c r="F2429" s="46"/>
      <c r="G2429" s="46"/>
      <c r="H2429" s="46"/>
      <c r="I2429" s="47"/>
    </row>
    <row r="2430" spans="2:9" ht="19.899999999999999" customHeight="1" x14ac:dyDescent="0.25">
      <c r="B2430" s="23"/>
      <c r="C2430" s="2" t="s">
        <v>690</v>
      </c>
      <c r="D2430" s="45" t="s">
        <v>1872</v>
      </c>
      <c r="E2430" s="46"/>
      <c r="F2430" s="46"/>
      <c r="G2430" s="46"/>
      <c r="H2430" s="46"/>
      <c r="I2430" s="47"/>
    </row>
    <row r="2431" spans="2:9" ht="19.899999999999999" customHeight="1" x14ac:dyDescent="0.25">
      <c r="B2431" s="23"/>
      <c r="C2431" s="2" t="s">
        <v>692</v>
      </c>
      <c r="D2431" s="45" t="s">
        <v>1873</v>
      </c>
      <c r="E2431" s="46"/>
      <c r="F2431" s="46"/>
      <c r="G2431" s="46"/>
      <c r="H2431" s="46"/>
      <c r="I2431" s="47"/>
    </row>
    <row r="2432" spans="2:9" ht="19.899999999999999" customHeight="1" x14ac:dyDescent="0.25">
      <c r="B2432" s="23"/>
      <c r="C2432" s="2" t="s">
        <v>829</v>
      </c>
      <c r="D2432" s="45" t="s">
        <v>1874</v>
      </c>
      <c r="E2432" s="46"/>
      <c r="F2432" s="46"/>
      <c r="G2432" s="46"/>
      <c r="H2432" s="46"/>
      <c r="I2432" s="47"/>
    </row>
    <row r="2433" spans="2:10" ht="19.899999999999999" customHeight="1" x14ac:dyDescent="0.25">
      <c r="B2433" s="23"/>
      <c r="C2433" s="2" t="s">
        <v>1875</v>
      </c>
      <c r="D2433" s="45" t="s">
        <v>1876</v>
      </c>
      <c r="E2433" s="46"/>
      <c r="F2433" s="46"/>
      <c r="G2433" s="46"/>
      <c r="H2433" s="46"/>
      <c r="I2433" s="47"/>
    </row>
    <row r="2434" spans="2:10" x14ac:dyDescent="0.25">
      <c r="B2434" s="23"/>
      <c r="I2434" s="26"/>
    </row>
    <row r="2435" spans="2:10" x14ac:dyDescent="0.25">
      <c r="B2435" s="23"/>
      <c r="C2435" s="55" t="s">
        <v>60</v>
      </c>
      <c r="D2435" s="46"/>
      <c r="E2435" s="46"/>
      <c r="F2435" s="46"/>
      <c r="G2435" s="46"/>
      <c r="H2435" s="46"/>
      <c r="I2435" s="47"/>
    </row>
    <row r="2436" spans="2:10" x14ac:dyDescent="0.25">
      <c r="B2436" s="23"/>
      <c r="I2436" s="26"/>
    </row>
    <row r="2437" spans="2:10" ht="19.899999999999999" customHeight="1" x14ac:dyDescent="0.25">
      <c r="B2437" s="24" t="s">
        <v>1877</v>
      </c>
      <c r="C2437" s="19" t="str">
        <f>HYPERLINK("#'Json-dokumentation'!A3128", "Element av typen 'BPS'")</f>
        <v>Element av typen 'BPS'</v>
      </c>
      <c r="D2437" s="52" t="s">
        <v>1878</v>
      </c>
      <c r="E2437" s="53"/>
      <c r="F2437" s="53"/>
      <c r="G2437" s="53"/>
      <c r="H2437" s="53"/>
      <c r="I2437" s="54"/>
    </row>
    <row r="2438" spans="2:10" x14ac:dyDescent="0.25">
      <c r="B2438" s="23"/>
      <c r="C2438" s="55" t="s">
        <v>60</v>
      </c>
      <c r="D2438" s="46"/>
      <c r="E2438" s="46"/>
      <c r="F2438" s="46"/>
      <c r="G2438" s="46"/>
      <c r="H2438" s="46"/>
      <c r="I2438" s="47"/>
    </row>
    <row r="2439" spans="2:10" x14ac:dyDescent="0.25">
      <c r="B2439" s="23"/>
      <c r="I2439" s="26"/>
    </row>
    <row r="2440" spans="2:10" ht="34.35" customHeight="1" x14ac:dyDescent="0.25">
      <c r="B2440" s="24" t="s">
        <v>1879</v>
      </c>
      <c r="C2440" s="19" t="str">
        <f>HYPERLINK("#'Json-dokumentation'!A3165", "Element av typen 'CPOT'")</f>
        <v>Element av typen 'CPOT'</v>
      </c>
      <c r="D2440" s="52" t="s">
        <v>1880</v>
      </c>
      <c r="E2440" s="53"/>
      <c r="F2440" s="53"/>
      <c r="G2440" s="53"/>
      <c r="H2440" s="53"/>
      <c r="I2440" s="54"/>
    </row>
    <row r="2441" spans="2:10" x14ac:dyDescent="0.25">
      <c r="B2441" s="23"/>
      <c r="C2441" s="55" t="s">
        <v>60</v>
      </c>
      <c r="D2441" s="46"/>
      <c r="E2441" s="46"/>
      <c r="F2441" s="46"/>
      <c r="G2441" s="46"/>
      <c r="H2441" s="46"/>
      <c r="I2441" s="47"/>
    </row>
    <row r="2442" spans="2:10" x14ac:dyDescent="0.25">
      <c r="B2442" s="23"/>
      <c r="I2442" s="26"/>
    </row>
    <row r="2443" spans="2:10" ht="19.899999999999999" customHeight="1" x14ac:dyDescent="0.25">
      <c r="B2443" s="24" t="s">
        <v>958</v>
      </c>
      <c r="C2443" s="19" t="s">
        <v>73</v>
      </c>
      <c r="D2443" s="52" t="s">
        <v>1881</v>
      </c>
      <c r="E2443" s="53"/>
      <c r="F2443" s="53"/>
      <c r="G2443" s="53"/>
      <c r="H2443" s="53"/>
      <c r="I2443" s="54"/>
      <c r="J2443" s="17" t="str">
        <f>HYPERLINK("#'Ändringshistorik'!C261", "Ändringshistorik: [117] ,[118]")</f>
        <v>Ändringshistorik: [117] ,[118]</v>
      </c>
    </row>
    <row r="2444" spans="2:10" x14ac:dyDescent="0.25">
      <c r="B2444" s="23"/>
      <c r="I2444" s="26"/>
    </row>
    <row r="2445" spans="2:10" x14ac:dyDescent="0.25">
      <c r="B2445" s="23"/>
      <c r="C2445" s="55" t="s">
        <v>60</v>
      </c>
      <c r="D2445" s="46"/>
      <c r="E2445" s="46"/>
      <c r="F2445" s="46"/>
      <c r="G2445" s="46"/>
      <c r="H2445" s="46"/>
      <c r="I2445" s="47"/>
    </row>
    <row r="2446" spans="2:10" x14ac:dyDescent="0.25">
      <c r="B2446" s="23"/>
      <c r="I2446" s="26"/>
    </row>
    <row r="2447" spans="2:10" ht="19.899999999999999" customHeight="1" x14ac:dyDescent="0.25">
      <c r="B2447" s="24" t="s">
        <v>1679</v>
      </c>
      <c r="C2447" s="18" t="s">
        <v>49</v>
      </c>
      <c r="D2447" s="52" t="s">
        <v>1882</v>
      </c>
      <c r="E2447" s="53"/>
      <c r="F2447" s="53"/>
      <c r="G2447" s="53"/>
      <c r="H2447" s="53"/>
      <c r="I2447" s="54"/>
      <c r="J2447" s="17" t="str">
        <f>HYPERLINK("#'Ändringshistorik'!C263", "Ändringshistorik: [119] ,[120]")</f>
        <v>Ändringshistorik: [119] ,[120]</v>
      </c>
    </row>
    <row r="2448" spans="2:10" ht="19.899999999999999" customHeight="1" x14ac:dyDescent="0.25">
      <c r="B2448" s="23"/>
      <c r="C2448" s="2" t="s">
        <v>1681</v>
      </c>
      <c r="D2448" s="45" t="s">
        <v>1682</v>
      </c>
      <c r="E2448" s="46"/>
      <c r="F2448" s="46"/>
      <c r="G2448" s="46"/>
      <c r="H2448" s="46"/>
      <c r="I2448" s="47"/>
    </row>
    <row r="2449" spans="2:10" ht="19.899999999999999" customHeight="1" x14ac:dyDescent="0.25">
      <c r="B2449" s="23"/>
      <c r="C2449" s="2" t="s">
        <v>1683</v>
      </c>
      <c r="D2449" s="45" t="s">
        <v>1684</v>
      </c>
      <c r="E2449" s="46"/>
      <c r="F2449" s="46"/>
      <c r="G2449" s="46"/>
      <c r="H2449" s="46"/>
      <c r="I2449" s="47"/>
    </row>
    <row r="2450" spans="2:10" ht="19.899999999999999" customHeight="1" x14ac:dyDescent="0.25">
      <c r="B2450" s="23"/>
      <c r="C2450" s="2" t="s">
        <v>1685</v>
      </c>
      <c r="D2450" s="45" t="s">
        <v>1686</v>
      </c>
      <c r="E2450" s="46"/>
      <c r="F2450" s="46"/>
      <c r="G2450" s="46"/>
      <c r="H2450" s="46"/>
      <c r="I2450" s="47"/>
    </row>
    <row r="2451" spans="2:10" x14ac:dyDescent="0.25">
      <c r="B2451" s="23"/>
      <c r="I2451" s="26"/>
    </row>
    <row r="2452" spans="2:10" x14ac:dyDescent="0.25">
      <c r="B2452" s="23"/>
      <c r="C2452" s="55" t="s">
        <v>60</v>
      </c>
      <c r="D2452" s="46"/>
      <c r="E2452" s="46"/>
      <c r="F2452" s="46"/>
      <c r="G2452" s="46"/>
      <c r="H2452" s="46"/>
      <c r="I2452" s="47"/>
    </row>
    <row r="2453" spans="2:10" x14ac:dyDescent="0.25">
      <c r="B2453" s="23"/>
      <c r="I2453" s="26"/>
    </row>
    <row r="2454" spans="2:10" ht="19.899999999999999" customHeight="1" x14ac:dyDescent="0.25">
      <c r="B2454" s="24" t="s">
        <v>1883</v>
      </c>
      <c r="C2454" s="18" t="s">
        <v>49</v>
      </c>
      <c r="D2454" s="52" t="s">
        <v>1884</v>
      </c>
      <c r="E2454" s="53"/>
      <c r="F2454" s="53"/>
      <c r="G2454" s="53"/>
      <c r="H2454" s="53"/>
      <c r="I2454" s="54"/>
      <c r="J2454" s="17" t="str">
        <f>HYPERLINK("#'Ändringshistorik'!C102", "Ändringshistorik: [226] ,[227] ,[228] ,[229]")</f>
        <v>Ändringshistorik: [226] ,[227] ,[228] ,[229]</v>
      </c>
    </row>
    <row r="2455" spans="2:10" ht="34.35" customHeight="1" x14ac:dyDescent="0.25">
      <c r="B2455" s="23"/>
      <c r="C2455" s="2" t="s">
        <v>1885</v>
      </c>
      <c r="D2455" s="45" t="s">
        <v>1886</v>
      </c>
      <c r="E2455" s="46"/>
      <c r="F2455" s="46"/>
      <c r="G2455" s="46"/>
      <c r="H2455" s="46"/>
      <c r="I2455" s="47"/>
    </row>
    <row r="2456" spans="2:10" ht="19.899999999999999" customHeight="1" x14ac:dyDescent="0.25">
      <c r="B2456" s="23"/>
      <c r="C2456" s="2" t="s">
        <v>1887</v>
      </c>
      <c r="D2456" s="45" t="s">
        <v>1888</v>
      </c>
      <c r="E2456" s="46"/>
      <c r="F2456" s="46"/>
      <c r="G2456" s="46"/>
      <c r="H2456" s="46"/>
      <c r="I2456" s="47"/>
    </row>
    <row r="2457" spans="2:10" ht="19.899999999999999" customHeight="1" x14ac:dyDescent="0.25">
      <c r="B2457" s="23"/>
      <c r="C2457" s="2" t="s">
        <v>300</v>
      </c>
      <c r="D2457" s="45" t="s">
        <v>1889</v>
      </c>
      <c r="E2457" s="46"/>
      <c r="F2457" s="46"/>
      <c r="G2457" s="46"/>
      <c r="H2457" s="46"/>
      <c r="I2457" s="47"/>
    </row>
    <row r="2458" spans="2:10" ht="19.899999999999999" customHeight="1" x14ac:dyDescent="0.25">
      <c r="B2458" s="23"/>
      <c r="C2458" s="2" t="s">
        <v>964</v>
      </c>
      <c r="D2458" s="45" t="s">
        <v>1890</v>
      </c>
      <c r="E2458" s="46"/>
      <c r="F2458" s="46"/>
      <c r="G2458" s="46"/>
      <c r="H2458" s="46"/>
      <c r="I2458" s="47"/>
    </row>
    <row r="2459" spans="2:10" x14ac:dyDescent="0.25">
      <c r="B2459" s="23"/>
      <c r="I2459" s="26"/>
    </row>
    <row r="2460" spans="2:10" x14ac:dyDescent="0.25">
      <c r="B2460" s="23"/>
      <c r="C2460" s="55" t="s">
        <v>60</v>
      </c>
      <c r="D2460" s="46"/>
      <c r="E2460" s="46"/>
      <c r="F2460" s="46"/>
      <c r="G2460" s="46"/>
      <c r="H2460" s="46"/>
      <c r="I2460" s="47"/>
    </row>
    <row r="2461" spans="2:10" x14ac:dyDescent="0.25">
      <c r="B2461" s="23"/>
      <c r="I2461" s="26"/>
    </row>
    <row r="2462" spans="2:10" ht="63.4" customHeight="1" x14ac:dyDescent="0.25">
      <c r="B2462" s="24" t="s">
        <v>1891</v>
      </c>
      <c r="C2462" s="18" t="s">
        <v>1892</v>
      </c>
      <c r="D2462" s="52" t="s">
        <v>1893</v>
      </c>
      <c r="E2462" s="53"/>
      <c r="F2462" s="53"/>
      <c r="G2462" s="53"/>
      <c r="H2462" s="53"/>
      <c r="I2462" s="54"/>
    </row>
    <row r="2463" spans="2:10" ht="19.899999999999999" customHeight="1" x14ac:dyDescent="0.25">
      <c r="B2463" s="23"/>
      <c r="C2463" s="2" t="s">
        <v>561</v>
      </c>
      <c r="D2463" s="45" t="s">
        <v>1894</v>
      </c>
      <c r="E2463" s="46"/>
      <c r="F2463" s="46"/>
      <c r="G2463" s="46"/>
      <c r="H2463" s="46"/>
      <c r="I2463" s="47"/>
    </row>
    <row r="2464" spans="2:10" ht="19.899999999999999" customHeight="1" x14ac:dyDescent="0.25">
      <c r="B2464" s="23"/>
      <c r="C2464" s="2" t="s">
        <v>1895</v>
      </c>
      <c r="D2464" s="45" t="s">
        <v>1896</v>
      </c>
      <c r="E2464" s="46"/>
      <c r="F2464" s="46"/>
      <c r="G2464" s="46"/>
      <c r="H2464" s="46"/>
      <c r="I2464" s="47"/>
    </row>
    <row r="2465" spans="2:9" ht="19.899999999999999" customHeight="1" x14ac:dyDescent="0.25">
      <c r="B2465" s="23"/>
      <c r="C2465" s="2" t="s">
        <v>1897</v>
      </c>
      <c r="D2465" s="45" t="s">
        <v>1898</v>
      </c>
      <c r="E2465" s="46"/>
      <c r="F2465" s="46"/>
      <c r="G2465" s="46"/>
      <c r="H2465" s="46"/>
      <c r="I2465" s="47"/>
    </row>
    <row r="2466" spans="2:9" ht="19.899999999999999" customHeight="1" x14ac:dyDescent="0.25">
      <c r="B2466" s="23"/>
      <c r="C2466" s="2" t="s">
        <v>1899</v>
      </c>
      <c r="D2466" s="45" t="s">
        <v>1900</v>
      </c>
      <c r="E2466" s="46"/>
      <c r="F2466" s="46"/>
      <c r="G2466" s="46"/>
      <c r="H2466" s="46"/>
      <c r="I2466" s="47"/>
    </row>
    <row r="2467" spans="2:9" ht="19.899999999999999" customHeight="1" x14ac:dyDescent="0.25">
      <c r="B2467" s="23"/>
      <c r="C2467" s="2" t="s">
        <v>1901</v>
      </c>
      <c r="D2467" s="45" t="s">
        <v>1902</v>
      </c>
      <c r="E2467" s="46"/>
      <c r="F2467" s="46"/>
      <c r="G2467" s="46"/>
      <c r="H2467" s="46"/>
      <c r="I2467" s="47"/>
    </row>
    <row r="2468" spans="2:9" ht="19.899999999999999" customHeight="1" x14ac:dyDescent="0.25">
      <c r="B2468" s="23"/>
      <c r="C2468" s="2" t="s">
        <v>1903</v>
      </c>
      <c r="D2468" s="45" t="s">
        <v>1904</v>
      </c>
      <c r="E2468" s="46"/>
      <c r="F2468" s="46"/>
      <c r="G2468" s="46"/>
      <c r="H2468" s="46"/>
      <c r="I2468" s="47"/>
    </row>
    <row r="2469" spans="2:9" ht="19.899999999999999" customHeight="1" x14ac:dyDescent="0.25">
      <c r="B2469" s="23"/>
      <c r="C2469" s="2" t="s">
        <v>1905</v>
      </c>
      <c r="D2469" s="45" t="s">
        <v>1906</v>
      </c>
      <c r="E2469" s="46"/>
      <c r="F2469" s="46"/>
      <c r="G2469" s="46"/>
      <c r="H2469" s="46"/>
      <c r="I2469" s="47"/>
    </row>
    <row r="2470" spans="2:9" ht="19.899999999999999" customHeight="1" x14ac:dyDescent="0.25">
      <c r="B2470" s="23"/>
      <c r="C2470" s="2" t="s">
        <v>573</v>
      </c>
      <c r="D2470" s="45" t="s">
        <v>1907</v>
      </c>
      <c r="E2470" s="46"/>
      <c r="F2470" s="46"/>
      <c r="G2470" s="46"/>
      <c r="H2470" s="46"/>
      <c r="I2470" s="47"/>
    </row>
    <row r="2471" spans="2:9" x14ac:dyDescent="0.25">
      <c r="B2471" s="23"/>
      <c r="I2471" s="26"/>
    </row>
    <row r="2472" spans="2:9" x14ac:dyDescent="0.25">
      <c r="B2472" s="23"/>
      <c r="C2472" s="55" t="s">
        <v>60</v>
      </c>
      <c r="D2472" s="46"/>
      <c r="E2472" s="46"/>
      <c r="F2472" s="46"/>
      <c r="G2472" s="46"/>
      <c r="H2472" s="46"/>
      <c r="I2472" s="47"/>
    </row>
    <row r="2473" spans="2:9" x14ac:dyDescent="0.25">
      <c r="B2473" s="23"/>
      <c r="I2473" s="26"/>
    </row>
    <row r="2474" spans="2:9" ht="63.4" customHeight="1" x14ac:dyDescent="0.25">
      <c r="B2474" s="24" t="s">
        <v>1908</v>
      </c>
      <c r="C2474" s="18" t="s">
        <v>1892</v>
      </c>
      <c r="D2474" s="52" t="s">
        <v>1909</v>
      </c>
      <c r="E2474" s="53"/>
      <c r="F2474" s="53"/>
      <c r="G2474" s="53"/>
      <c r="H2474" s="53"/>
      <c r="I2474" s="54"/>
    </row>
    <row r="2475" spans="2:9" ht="19.899999999999999" customHeight="1" x14ac:dyDescent="0.25">
      <c r="B2475" s="23"/>
      <c r="C2475" s="2" t="s">
        <v>561</v>
      </c>
      <c r="D2475" s="45" t="s">
        <v>513</v>
      </c>
      <c r="E2475" s="46"/>
      <c r="F2475" s="46"/>
      <c r="G2475" s="46"/>
      <c r="H2475" s="46"/>
      <c r="I2475" s="47"/>
    </row>
    <row r="2476" spans="2:9" ht="19.899999999999999" customHeight="1" x14ac:dyDescent="0.25">
      <c r="B2476" s="23"/>
      <c r="C2476" s="2" t="s">
        <v>1910</v>
      </c>
      <c r="D2476" s="45" t="s">
        <v>1911</v>
      </c>
      <c r="E2476" s="46"/>
      <c r="F2476" s="46"/>
      <c r="G2476" s="46"/>
      <c r="H2476" s="46"/>
      <c r="I2476" s="47"/>
    </row>
    <row r="2477" spans="2:9" ht="19.899999999999999" customHeight="1" x14ac:dyDescent="0.25">
      <c r="B2477" s="23"/>
      <c r="C2477" s="2" t="s">
        <v>1912</v>
      </c>
      <c r="D2477" s="45" t="s">
        <v>1913</v>
      </c>
      <c r="E2477" s="46"/>
      <c r="F2477" s="46"/>
      <c r="G2477" s="46"/>
      <c r="H2477" s="46"/>
      <c r="I2477" s="47"/>
    </row>
    <row r="2478" spans="2:9" ht="19.899999999999999" customHeight="1" x14ac:dyDescent="0.25">
      <c r="B2478" s="23"/>
      <c r="C2478" s="2" t="s">
        <v>1914</v>
      </c>
      <c r="D2478" s="45" t="s">
        <v>1915</v>
      </c>
      <c r="E2478" s="46"/>
      <c r="F2478" s="46"/>
      <c r="G2478" s="46"/>
      <c r="H2478" s="46"/>
      <c r="I2478" s="47"/>
    </row>
    <row r="2479" spans="2:9" ht="19.899999999999999" customHeight="1" x14ac:dyDescent="0.25">
      <c r="B2479" s="23"/>
      <c r="C2479" s="2" t="s">
        <v>1033</v>
      </c>
      <c r="D2479" s="45" t="s">
        <v>1916</v>
      </c>
      <c r="E2479" s="46"/>
      <c r="F2479" s="46"/>
      <c r="G2479" s="46"/>
      <c r="H2479" s="46"/>
      <c r="I2479" s="47"/>
    </row>
    <row r="2480" spans="2:9" x14ac:dyDescent="0.25">
      <c r="B2480" s="23"/>
      <c r="I2480" s="26"/>
    </row>
    <row r="2481" spans="2:10" x14ac:dyDescent="0.25">
      <c r="B2481" s="23"/>
      <c r="C2481" s="55" t="s">
        <v>60</v>
      </c>
      <c r="D2481" s="46"/>
      <c r="E2481" s="46"/>
      <c r="F2481" s="46"/>
      <c r="G2481" s="46"/>
      <c r="H2481" s="46"/>
      <c r="I2481" s="47"/>
    </row>
    <row r="2482" spans="2:10" x14ac:dyDescent="0.25">
      <c r="B2482" s="23"/>
      <c r="I2482" s="26"/>
    </row>
    <row r="2483" spans="2:10" ht="34.35" customHeight="1" x14ac:dyDescent="0.25">
      <c r="B2483" s="24" t="s">
        <v>1917</v>
      </c>
      <c r="C2483" s="19" t="str">
        <f>HYPERLINK("#'Json-dokumentation'!A3205", "Element av typen 'OmvårdnadSmärtaUppföljning'")</f>
        <v>Element av typen 'OmvårdnadSmärtaUppföljning'</v>
      </c>
      <c r="D2483" s="52" t="s">
        <v>1918</v>
      </c>
      <c r="E2483" s="53"/>
      <c r="F2483" s="53"/>
      <c r="G2483" s="53"/>
      <c r="H2483" s="53"/>
      <c r="I2483" s="54"/>
    </row>
    <row r="2484" spans="2:10" x14ac:dyDescent="0.25">
      <c r="B2484" s="23"/>
      <c r="C2484" s="55" t="s">
        <v>60</v>
      </c>
      <c r="D2484" s="46"/>
      <c r="E2484" s="46"/>
      <c r="F2484" s="46"/>
      <c r="G2484" s="46"/>
      <c r="H2484" s="46"/>
      <c r="I2484" s="47"/>
    </row>
    <row r="2485" spans="2:10" x14ac:dyDescent="0.25">
      <c r="B2485" s="25"/>
      <c r="C2485" s="21"/>
      <c r="D2485" s="21"/>
      <c r="E2485" s="21"/>
      <c r="F2485" s="21"/>
      <c r="G2485" s="21"/>
      <c r="H2485" s="21"/>
      <c r="I2485" s="27"/>
    </row>
    <row r="2487" spans="2:10" x14ac:dyDescent="0.25">
      <c r="B2487" s="3" t="s">
        <v>82</v>
      </c>
    </row>
    <row r="2488" spans="2:10" ht="19.899999999999999" customHeight="1" x14ac:dyDescent="0.25">
      <c r="B2488" s="29" t="s">
        <v>1919</v>
      </c>
      <c r="C2488" s="42" t="s">
        <v>1920</v>
      </c>
      <c r="D2488" s="43"/>
      <c r="E2488" s="43"/>
      <c r="F2488" s="43"/>
      <c r="G2488" s="43"/>
      <c r="H2488" s="43"/>
      <c r="I2488" s="44"/>
      <c r="J2488" s="17" t="str">
        <f>HYPERLINK("#'Ändringshistorik'!C9", "Ändringshistorik: [240]")</f>
        <v>Ändringshistorik: [240]</v>
      </c>
    </row>
    <row r="2489" spans="2:10" ht="19.899999999999999" customHeight="1" x14ac:dyDescent="0.25">
      <c r="B2489" s="30" t="s">
        <v>1921</v>
      </c>
      <c r="C2489" s="52" t="s">
        <v>1922</v>
      </c>
      <c r="D2489" s="53"/>
      <c r="E2489" s="46"/>
      <c r="F2489" s="46"/>
      <c r="G2489" s="46"/>
      <c r="H2489" s="46"/>
      <c r="I2489" s="47"/>
      <c r="J2489" s="17" t="str">
        <f>HYPERLINK("#'Ändringshistorik'!C327", "Ändringshistorik: [85] ,[242]")</f>
        <v>Ändringshistorik: [85] ,[242]</v>
      </c>
    </row>
    <row r="2490" spans="2:10" ht="19.899999999999999" customHeight="1" x14ac:dyDescent="0.25">
      <c r="B2490" s="30" t="s">
        <v>1923</v>
      </c>
      <c r="C2490" s="52" t="s">
        <v>1924</v>
      </c>
      <c r="D2490" s="53"/>
      <c r="E2490" s="46"/>
      <c r="F2490" s="46"/>
      <c r="G2490" s="46"/>
      <c r="H2490" s="46"/>
      <c r="I2490" s="47"/>
      <c r="J2490" s="17" t="str">
        <f>HYPERLINK("#'Ändringshistorik'!C12", "Ändringshistorik: [243]")</f>
        <v>Ändringshistorik: [243]</v>
      </c>
    </row>
    <row r="2491" spans="2:10" ht="19.899999999999999" customHeight="1" x14ac:dyDescent="0.25">
      <c r="B2491" s="30" t="s">
        <v>1925</v>
      </c>
      <c r="C2491" s="52" t="s">
        <v>1926</v>
      </c>
      <c r="D2491" s="53"/>
      <c r="E2491" s="46"/>
      <c r="F2491" s="46"/>
      <c r="G2491" s="46"/>
      <c r="H2491" s="46"/>
      <c r="I2491" s="47"/>
      <c r="J2491" s="17" t="str">
        <f>HYPERLINK("#'Ändringshistorik'!C13", "Ändringshistorik: [244]")</f>
        <v>Ändringshistorik: [244]</v>
      </c>
    </row>
    <row r="2492" spans="2:10" ht="19.899999999999999" customHeight="1" x14ac:dyDescent="0.25">
      <c r="B2492" s="30" t="s">
        <v>1927</v>
      </c>
      <c r="C2492" s="52" t="s">
        <v>1928</v>
      </c>
      <c r="D2492" s="53"/>
      <c r="E2492" s="46"/>
      <c r="F2492" s="46"/>
      <c r="G2492" s="46"/>
      <c r="H2492" s="46"/>
      <c r="I2492" s="47"/>
      <c r="J2492" s="17" t="str">
        <f>HYPERLINK("#'Ändringshistorik'!C14", "Ändringshistorik: [245]")</f>
        <v>Ändringshistorik: [245]</v>
      </c>
    </row>
    <row r="2493" spans="2:10" ht="19.899999999999999" customHeight="1" x14ac:dyDescent="0.25">
      <c r="B2493" s="30" t="s">
        <v>1929</v>
      </c>
      <c r="C2493" s="52" t="s">
        <v>1930</v>
      </c>
      <c r="D2493" s="53"/>
      <c r="E2493" s="46"/>
      <c r="F2493" s="46"/>
      <c r="G2493" s="46"/>
      <c r="H2493" s="46"/>
      <c r="I2493" s="47"/>
      <c r="J2493" s="17" t="str">
        <f>HYPERLINK("#'Ändringshistorik'!C15", "Ändringshistorik: [246]")</f>
        <v>Ändringshistorik: [246]</v>
      </c>
    </row>
    <row r="2494" spans="2:10" ht="19.899999999999999" customHeight="1" x14ac:dyDescent="0.25">
      <c r="B2494" s="30" t="s">
        <v>1931</v>
      </c>
      <c r="C2494" s="52" t="s">
        <v>1932</v>
      </c>
      <c r="D2494" s="53"/>
      <c r="E2494" s="46"/>
      <c r="F2494" s="46"/>
      <c r="G2494" s="46"/>
      <c r="H2494" s="46"/>
      <c r="I2494" s="47"/>
      <c r="J2494" s="17" t="str">
        <f>HYPERLINK("#'Ändringshistorik'!C16", "Ändringshistorik: [247]")</f>
        <v>Ändringshistorik: [247]</v>
      </c>
    </row>
    <row r="2495" spans="2:10" ht="19.899999999999999" customHeight="1" x14ac:dyDescent="0.25">
      <c r="B2495" s="30" t="s">
        <v>1933</v>
      </c>
      <c r="C2495" s="52" t="s">
        <v>1934</v>
      </c>
      <c r="D2495" s="53"/>
      <c r="E2495" s="46"/>
      <c r="F2495" s="46"/>
      <c r="G2495" s="46"/>
      <c r="H2495" s="46"/>
      <c r="I2495" s="47"/>
    </row>
    <row r="2496" spans="2:10" ht="19.899999999999999" customHeight="1" x14ac:dyDescent="0.25">
      <c r="B2496" s="30" t="s">
        <v>1935</v>
      </c>
      <c r="C2496" s="52" t="s">
        <v>1936</v>
      </c>
      <c r="D2496" s="53"/>
      <c r="E2496" s="46"/>
      <c r="F2496" s="46"/>
      <c r="G2496" s="46"/>
      <c r="H2496" s="46"/>
      <c r="I2496" s="47"/>
      <c r="J2496" s="17" t="str">
        <f>HYPERLINK("#'Ändringshistorik'!C17", "Ändringshistorik: [248]")</f>
        <v>Ändringshistorik: [248]</v>
      </c>
    </row>
    <row r="2497" spans="2:10" ht="19.899999999999999" customHeight="1" x14ac:dyDescent="0.25">
      <c r="B2497" s="30" t="s">
        <v>1937</v>
      </c>
      <c r="C2497" s="52" t="s">
        <v>1938</v>
      </c>
      <c r="D2497" s="53"/>
      <c r="E2497" s="46"/>
      <c r="F2497" s="46"/>
      <c r="G2497" s="46"/>
      <c r="H2497" s="46"/>
      <c r="I2497" s="47"/>
      <c r="J2497" s="17" t="str">
        <f>HYPERLINK("#'Ändringshistorik'!C18", "Ändringshistorik: [249]")</f>
        <v>Ändringshistorik: [249]</v>
      </c>
    </row>
    <row r="2498" spans="2:10" ht="19.899999999999999" customHeight="1" x14ac:dyDescent="0.25">
      <c r="B2498" s="30" t="s">
        <v>1939</v>
      </c>
      <c r="C2498" s="52" t="s">
        <v>1940</v>
      </c>
      <c r="D2498" s="53"/>
      <c r="E2498" s="46"/>
      <c r="F2498" s="46"/>
      <c r="G2498" s="46"/>
      <c r="H2498" s="46"/>
      <c r="I2498" s="47"/>
      <c r="J2498" s="17" t="str">
        <f>HYPERLINK("#'Ändringshistorik'!C19", "Ändringshistorik: [250]")</f>
        <v>Ändringshistorik: [250]</v>
      </c>
    </row>
    <row r="2499" spans="2:10" ht="19.899999999999999" customHeight="1" x14ac:dyDescent="0.25">
      <c r="B2499" s="30" t="s">
        <v>1941</v>
      </c>
      <c r="C2499" s="52" t="s">
        <v>1942</v>
      </c>
      <c r="D2499" s="53"/>
      <c r="E2499" s="46"/>
      <c r="F2499" s="46"/>
      <c r="G2499" s="46"/>
      <c r="H2499" s="46"/>
      <c r="I2499" s="47"/>
      <c r="J2499" s="17" t="str">
        <f>HYPERLINK("#'Ändringshistorik'!C20", "Ändringshistorik: [251]")</f>
        <v>Ändringshistorik: [251]</v>
      </c>
    </row>
    <row r="2500" spans="2:10" ht="19.899999999999999" customHeight="1" x14ac:dyDescent="0.25">
      <c r="B2500" s="30" t="s">
        <v>1943</v>
      </c>
      <c r="C2500" s="52" t="s">
        <v>1944</v>
      </c>
      <c r="D2500" s="53"/>
      <c r="E2500" s="46"/>
      <c r="F2500" s="46"/>
      <c r="G2500" s="46"/>
      <c r="H2500" s="46"/>
      <c r="I2500" s="47"/>
      <c r="J2500" s="17" t="str">
        <f>HYPERLINK("#'Ändringshistorik'!C21", "Ändringshistorik: [252]")</f>
        <v>Ändringshistorik: [252]</v>
      </c>
    </row>
    <row r="2501" spans="2:10" ht="19.899999999999999" customHeight="1" x14ac:dyDescent="0.25">
      <c r="B2501" s="30" t="s">
        <v>1945</v>
      </c>
      <c r="C2501" s="52" t="s">
        <v>1946</v>
      </c>
      <c r="D2501" s="53"/>
      <c r="E2501" s="46"/>
      <c r="F2501" s="46"/>
      <c r="G2501" s="46"/>
      <c r="H2501" s="46"/>
      <c r="I2501" s="47"/>
      <c r="J2501" s="17" t="str">
        <f>HYPERLINK("#'Ändringshistorik'!C22", "Ändringshistorik: [253]")</f>
        <v>Ändringshistorik: [253]</v>
      </c>
    </row>
    <row r="2502" spans="2:10" ht="19.899999999999999" customHeight="1" x14ac:dyDescent="0.25">
      <c r="B2502" s="30" t="s">
        <v>1947</v>
      </c>
      <c r="C2502" s="52" t="s">
        <v>1948</v>
      </c>
      <c r="D2502" s="53"/>
      <c r="E2502" s="46"/>
      <c r="F2502" s="46"/>
      <c r="G2502" s="46"/>
      <c r="H2502" s="46"/>
      <c r="I2502" s="47"/>
      <c r="J2502" s="17" t="str">
        <f>HYPERLINK("#'Ändringshistorik'!C23", "Ändringshistorik: [254]")</f>
        <v>Ändringshistorik: [254]</v>
      </c>
    </row>
    <row r="2503" spans="2:10" ht="19.899999999999999" customHeight="1" x14ac:dyDescent="0.25">
      <c r="B2503" s="30" t="s">
        <v>1949</v>
      </c>
      <c r="C2503" s="52" t="s">
        <v>1950</v>
      </c>
      <c r="D2503" s="53"/>
      <c r="E2503" s="46"/>
      <c r="F2503" s="46"/>
      <c r="G2503" s="46"/>
      <c r="H2503" s="46"/>
      <c r="I2503" s="47"/>
      <c r="J2503" s="17" t="str">
        <f>HYPERLINK("#'Ändringshistorik'!C152", "Ändringshistorik: [193] ,[255]")</f>
        <v>Ändringshistorik: [193] ,[255]</v>
      </c>
    </row>
    <row r="2504" spans="2:10" ht="19.899999999999999" customHeight="1" x14ac:dyDescent="0.25">
      <c r="B2504" s="30" t="s">
        <v>1951</v>
      </c>
      <c r="C2504" s="52" t="s">
        <v>1952</v>
      </c>
      <c r="D2504" s="53"/>
      <c r="E2504" s="46"/>
      <c r="F2504" s="46"/>
      <c r="G2504" s="46"/>
      <c r="H2504" s="46"/>
      <c r="I2504" s="47"/>
      <c r="J2504" s="17" t="str">
        <f>HYPERLINK("#'Ändringshistorik'!C25", "Ändringshistorik: [256]")</f>
        <v>Ändringshistorik: [256]</v>
      </c>
    </row>
    <row r="2505" spans="2:10" ht="19.899999999999999" customHeight="1" x14ac:dyDescent="0.25">
      <c r="B2505" s="30" t="s">
        <v>1953</v>
      </c>
      <c r="C2505" s="52" t="s">
        <v>1954</v>
      </c>
      <c r="D2505" s="53"/>
      <c r="E2505" s="46"/>
      <c r="F2505" s="46"/>
      <c r="G2505" s="46"/>
      <c r="H2505" s="46"/>
      <c r="I2505" s="47"/>
    </row>
    <row r="2506" spans="2:10" ht="19.899999999999999" customHeight="1" x14ac:dyDescent="0.25">
      <c r="B2506" s="30" t="s">
        <v>1955</v>
      </c>
      <c r="C2506" s="52" t="s">
        <v>1956</v>
      </c>
      <c r="D2506" s="53"/>
      <c r="E2506" s="46"/>
      <c r="F2506" s="46"/>
      <c r="G2506" s="46"/>
      <c r="H2506" s="46"/>
      <c r="I2506" s="47"/>
    </row>
    <row r="2507" spans="2:10" ht="19.899999999999999" customHeight="1" x14ac:dyDescent="0.25">
      <c r="B2507" s="30" t="s">
        <v>1957</v>
      </c>
      <c r="C2507" s="52" t="s">
        <v>1958</v>
      </c>
      <c r="D2507" s="53"/>
      <c r="E2507" s="46"/>
      <c r="F2507" s="46"/>
      <c r="G2507" s="46"/>
      <c r="H2507" s="46"/>
      <c r="I2507" s="47"/>
    </row>
    <row r="2508" spans="2:10" ht="19.899999999999999" customHeight="1" x14ac:dyDescent="0.25">
      <c r="B2508" s="30" t="s">
        <v>1959</v>
      </c>
      <c r="C2508" s="52" t="s">
        <v>1960</v>
      </c>
      <c r="D2508" s="53"/>
      <c r="E2508" s="46"/>
      <c r="F2508" s="46"/>
      <c r="G2508" s="46"/>
      <c r="H2508" s="46"/>
      <c r="I2508" s="47"/>
    </row>
    <row r="2509" spans="2:10" ht="19.899999999999999" customHeight="1" x14ac:dyDescent="0.25">
      <c r="B2509" s="30" t="s">
        <v>1961</v>
      </c>
      <c r="C2509" s="52" t="s">
        <v>1962</v>
      </c>
      <c r="D2509" s="53"/>
      <c r="E2509" s="46"/>
      <c r="F2509" s="46"/>
      <c r="G2509" s="46"/>
      <c r="H2509" s="46"/>
      <c r="I2509" s="47"/>
    </row>
    <row r="2510" spans="2:10" ht="19.899999999999999" customHeight="1" x14ac:dyDescent="0.25">
      <c r="B2510" s="30" t="s">
        <v>1963</v>
      </c>
      <c r="C2510" s="52" t="s">
        <v>1964</v>
      </c>
      <c r="D2510" s="53"/>
      <c r="E2510" s="46"/>
      <c r="F2510" s="46"/>
      <c r="G2510" s="46"/>
      <c r="H2510" s="46"/>
      <c r="I2510" s="47"/>
    </row>
    <row r="2511" spans="2:10" ht="19.899999999999999" customHeight="1" x14ac:dyDescent="0.25">
      <c r="B2511" s="30" t="s">
        <v>1965</v>
      </c>
      <c r="C2511" s="52" t="s">
        <v>1966</v>
      </c>
      <c r="D2511" s="53"/>
      <c r="E2511" s="46"/>
      <c r="F2511" s="46"/>
      <c r="G2511" s="46"/>
      <c r="H2511" s="46"/>
      <c r="I2511" s="47"/>
    </row>
    <row r="2512" spans="2:10" ht="19.899999999999999" customHeight="1" x14ac:dyDescent="0.25">
      <c r="B2512" s="30" t="s">
        <v>1967</v>
      </c>
      <c r="C2512" s="52" t="s">
        <v>1968</v>
      </c>
      <c r="D2512" s="53"/>
      <c r="E2512" s="46"/>
      <c r="F2512" s="46"/>
      <c r="G2512" s="46"/>
      <c r="H2512" s="46"/>
      <c r="I2512" s="47"/>
    </row>
    <row r="2513" spans="1:10" ht="34.35" customHeight="1" x14ac:dyDescent="0.25">
      <c r="B2513" s="30" t="s">
        <v>1969</v>
      </c>
      <c r="C2513" s="52" t="s">
        <v>1970</v>
      </c>
      <c r="D2513" s="53"/>
      <c r="E2513" s="46"/>
      <c r="F2513" s="46"/>
      <c r="G2513" s="46"/>
      <c r="H2513" s="46"/>
      <c r="I2513" s="47"/>
    </row>
    <row r="2514" spans="1:10" ht="34.35" customHeight="1" x14ac:dyDescent="0.25">
      <c r="B2514" s="31" t="s">
        <v>1971</v>
      </c>
      <c r="C2514" s="59" t="s">
        <v>1972</v>
      </c>
      <c r="D2514" s="60"/>
      <c r="E2514" s="49"/>
      <c r="F2514" s="49"/>
      <c r="G2514" s="49"/>
      <c r="H2514" s="49"/>
      <c r="I2514" s="50"/>
    </row>
    <row r="2518" spans="1:10" ht="19.899999999999999" customHeight="1" x14ac:dyDescent="0.25">
      <c r="A2518" s="45" t="s">
        <v>29</v>
      </c>
      <c r="B2518" s="46"/>
      <c r="C2518" s="46"/>
      <c r="D2518" s="46"/>
      <c r="E2518" s="46"/>
      <c r="F2518" s="46"/>
      <c r="G2518" s="46"/>
      <c r="H2518" s="46"/>
      <c r="I2518" s="46"/>
    </row>
    <row r="2519" spans="1:10" ht="18.75" x14ac:dyDescent="0.25">
      <c r="A2519" s="16" t="s">
        <v>1973</v>
      </c>
      <c r="B2519" s="3" t="s">
        <v>47</v>
      </c>
      <c r="J2519" s="17" t="str">
        <f>HYPERLINK("#'Ändringshistorik'!C351", "Ändringshistorik: [18] ,[29] ,[197] ,[223] ,[271] ,[273] ,[279] ,[280] ,[281] ,[282] ,[283] ,[284] ,[285] ,[286] ,[287] ,[288] ,[289] ,[290] ,[291] ,[292] ,[293] ,[294] ,[295] ,[296] ,[297] ,[298] ,[299]")</f>
        <v>Ändringshistorik: [18] ,[29] ,[197] ,[223] ,[271] ,[273] ,[279] ,[280] ,[281] ,[282] ,[283] ,[284] ,[285] ,[286] ,[287] ,[288] ,[289] ,[290] ,[291] ,[292] ,[293] ,[294] ,[295] ,[296] ,[297] ,[298] ,[299]</v>
      </c>
    </row>
    <row r="2520" spans="1:10" ht="19.899999999999999" customHeight="1" x14ac:dyDescent="0.25">
      <c r="B2520" s="22" t="s">
        <v>1974</v>
      </c>
      <c r="C2520" s="32" t="s">
        <v>220</v>
      </c>
      <c r="D2520" s="42" t="s">
        <v>1975</v>
      </c>
      <c r="E2520" s="43"/>
      <c r="F2520" s="43"/>
      <c r="G2520" s="43"/>
      <c r="H2520" s="43"/>
      <c r="I2520" s="44"/>
    </row>
    <row r="2521" spans="1:10" x14ac:dyDescent="0.25">
      <c r="B2521" s="23"/>
      <c r="C2521" s="2" t="s">
        <v>222</v>
      </c>
      <c r="I2521" s="26"/>
    </row>
    <row r="2522" spans="1:10" x14ac:dyDescent="0.25">
      <c r="B2522" s="23"/>
      <c r="I2522" s="26"/>
    </row>
    <row r="2523" spans="1:10" x14ac:dyDescent="0.25">
      <c r="B2523" s="23"/>
      <c r="C2523" s="51" t="s">
        <v>55</v>
      </c>
      <c r="D2523" s="46"/>
      <c r="E2523" s="46"/>
      <c r="F2523" s="46"/>
      <c r="G2523" s="46"/>
      <c r="H2523" s="46"/>
      <c r="I2523" s="47"/>
    </row>
    <row r="2524" spans="1:10" x14ac:dyDescent="0.25">
      <c r="B2524" s="23"/>
      <c r="I2524" s="26"/>
    </row>
    <row r="2525" spans="1:10" ht="34.35" customHeight="1" x14ac:dyDescent="0.25">
      <c r="B2525" s="24" t="s">
        <v>1976</v>
      </c>
      <c r="C2525" s="18" t="s">
        <v>49</v>
      </c>
      <c r="D2525" s="52" t="s">
        <v>1977</v>
      </c>
      <c r="E2525" s="53"/>
      <c r="F2525" s="53"/>
      <c r="G2525" s="53"/>
      <c r="H2525" s="53"/>
      <c r="I2525" s="54"/>
    </row>
    <row r="2526" spans="1:10" ht="19.899999999999999" customHeight="1" x14ac:dyDescent="0.25">
      <c r="B2526" s="23"/>
      <c r="C2526" s="2" t="s">
        <v>851</v>
      </c>
      <c r="D2526" s="45" t="s">
        <v>1978</v>
      </c>
      <c r="E2526" s="46"/>
      <c r="F2526" s="46"/>
      <c r="G2526" s="46"/>
      <c r="H2526" s="46"/>
      <c r="I2526" s="47"/>
    </row>
    <row r="2527" spans="1:10" ht="19.899999999999999" customHeight="1" x14ac:dyDescent="0.25">
      <c r="B2527" s="23"/>
      <c r="C2527" s="2" t="s">
        <v>657</v>
      </c>
      <c r="D2527" s="45" t="s">
        <v>1979</v>
      </c>
      <c r="E2527" s="46"/>
      <c r="F2527" s="46"/>
      <c r="G2527" s="46"/>
      <c r="H2527" s="46"/>
      <c r="I2527" s="47"/>
    </row>
    <row r="2528" spans="1:10" ht="19.899999999999999" customHeight="1" x14ac:dyDescent="0.25">
      <c r="B2528" s="23"/>
      <c r="C2528" s="2" t="s">
        <v>659</v>
      </c>
      <c r="D2528" s="45" t="s">
        <v>1980</v>
      </c>
      <c r="E2528" s="46"/>
      <c r="F2528" s="46"/>
      <c r="G2528" s="46"/>
      <c r="H2528" s="46"/>
      <c r="I2528" s="47"/>
    </row>
    <row r="2529" spans="2:9" ht="19.899999999999999" customHeight="1" x14ac:dyDescent="0.25">
      <c r="B2529" s="23"/>
      <c r="C2529" s="2" t="s">
        <v>661</v>
      </c>
      <c r="D2529" s="45" t="s">
        <v>1981</v>
      </c>
      <c r="E2529" s="46"/>
      <c r="F2529" s="46"/>
      <c r="G2529" s="46"/>
      <c r="H2529" s="46"/>
      <c r="I2529" s="47"/>
    </row>
    <row r="2530" spans="2:9" ht="19.899999999999999" customHeight="1" x14ac:dyDescent="0.25">
      <c r="B2530" s="23"/>
      <c r="C2530" s="2" t="s">
        <v>663</v>
      </c>
      <c r="D2530" s="45" t="s">
        <v>1982</v>
      </c>
      <c r="E2530" s="46"/>
      <c r="F2530" s="46"/>
      <c r="G2530" s="46"/>
      <c r="H2530" s="46"/>
      <c r="I2530" s="47"/>
    </row>
    <row r="2531" spans="2:9" ht="19.899999999999999" customHeight="1" x14ac:dyDescent="0.25">
      <c r="B2531" s="23"/>
      <c r="C2531" s="2" t="s">
        <v>1983</v>
      </c>
      <c r="D2531" s="45" t="s">
        <v>1984</v>
      </c>
      <c r="E2531" s="46"/>
      <c r="F2531" s="46"/>
      <c r="G2531" s="46"/>
      <c r="H2531" s="46"/>
      <c r="I2531" s="47"/>
    </row>
    <row r="2532" spans="2:9" ht="34.35" customHeight="1" x14ac:dyDescent="0.25">
      <c r="B2532" s="23"/>
      <c r="C2532" s="2" t="s">
        <v>1985</v>
      </c>
      <c r="D2532" s="45" t="s">
        <v>1986</v>
      </c>
      <c r="E2532" s="46"/>
      <c r="F2532" s="46"/>
      <c r="G2532" s="46"/>
      <c r="H2532" s="46"/>
      <c r="I2532" s="47"/>
    </row>
    <row r="2533" spans="2:9" ht="19.899999999999999" customHeight="1" x14ac:dyDescent="0.25">
      <c r="B2533" s="23"/>
      <c r="C2533" s="2" t="s">
        <v>1987</v>
      </c>
      <c r="D2533" s="45" t="s">
        <v>1988</v>
      </c>
      <c r="E2533" s="46"/>
      <c r="F2533" s="46"/>
      <c r="G2533" s="46"/>
      <c r="H2533" s="46"/>
      <c r="I2533" s="47"/>
    </row>
    <row r="2534" spans="2:9" ht="19.899999999999999" customHeight="1" x14ac:dyDescent="0.25">
      <c r="B2534" s="23"/>
      <c r="C2534" s="2" t="s">
        <v>1989</v>
      </c>
      <c r="D2534" s="45" t="s">
        <v>1990</v>
      </c>
      <c r="E2534" s="46"/>
      <c r="F2534" s="46"/>
      <c r="G2534" s="46"/>
      <c r="H2534" s="46"/>
      <c r="I2534" s="47"/>
    </row>
    <row r="2535" spans="2:9" ht="34.35" customHeight="1" x14ac:dyDescent="0.25">
      <c r="B2535" s="23"/>
      <c r="C2535" s="2" t="s">
        <v>1991</v>
      </c>
      <c r="D2535" s="45" t="s">
        <v>1992</v>
      </c>
      <c r="E2535" s="46"/>
      <c r="F2535" s="46"/>
      <c r="G2535" s="46"/>
      <c r="H2535" s="46"/>
      <c r="I2535" s="47"/>
    </row>
    <row r="2536" spans="2:9" x14ac:dyDescent="0.25">
      <c r="B2536" s="23"/>
      <c r="I2536" s="26"/>
    </row>
    <row r="2537" spans="2:9" x14ac:dyDescent="0.25">
      <c r="B2537" s="23"/>
      <c r="C2537" s="55" t="s">
        <v>60</v>
      </c>
      <c r="D2537" s="46"/>
      <c r="E2537" s="46"/>
      <c r="F2537" s="46"/>
      <c r="G2537" s="46"/>
      <c r="H2537" s="46"/>
      <c r="I2537" s="47"/>
    </row>
    <row r="2538" spans="2:9" x14ac:dyDescent="0.25">
      <c r="B2538" s="23"/>
      <c r="I2538" s="26"/>
    </row>
    <row r="2539" spans="2:9" ht="34.35" customHeight="1" x14ac:dyDescent="0.25">
      <c r="B2539" s="24" t="s">
        <v>1993</v>
      </c>
      <c r="C2539" s="18" t="s">
        <v>49</v>
      </c>
      <c r="D2539" s="52" t="s">
        <v>1994</v>
      </c>
      <c r="E2539" s="53"/>
      <c r="F2539" s="53"/>
      <c r="G2539" s="53"/>
      <c r="H2539" s="53"/>
      <c r="I2539" s="54"/>
    </row>
    <row r="2540" spans="2:9" ht="19.899999999999999" customHeight="1" x14ac:dyDescent="0.25">
      <c r="B2540" s="23"/>
      <c r="C2540" s="2" t="s">
        <v>851</v>
      </c>
      <c r="D2540" s="45" t="s">
        <v>1995</v>
      </c>
      <c r="E2540" s="46"/>
      <c r="F2540" s="46"/>
      <c r="G2540" s="46"/>
      <c r="H2540" s="46"/>
      <c r="I2540" s="47"/>
    </row>
    <row r="2541" spans="2:9" ht="34.35" customHeight="1" x14ac:dyDescent="0.25">
      <c r="B2541" s="23"/>
      <c r="C2541" s="2" t="s">
        <v>657</v>
      </c>
      <c r="D2541" s="45" t="s">
        <v>1996</v>
      </c>
      <c r="E2541" s="46"/>
      <c r="F2541" s="46"/>
      <c r="G2541" s="46"/>
      <c r="H2541" s="46"/>
      <c r="I2541" s="47"/>
    </row>
    <row r="2542" spans="2:9" ht="34.35" customHeight="1" x14ac:dyDescent="0.25">
      <c r="B2542" s="23"/>
      <c r="C2542" s="2" t="s">
        <v>659</v>
      </c>
      <c r="D2542" s="45" t="s">
        <v>1997</v>
      </c>
      <c r="E2542" s="46"/>
      <c r="F2542" s="46"/>
      <c r="G2542" s="46"/>
      <c r="H2542" s="46"/>
      <c r="I2542" s="47"/>
    </row>
    <row r="2543" spans="2:9" ht="34.35" customHeight="1" x14ac:dyDescent="0.25">
      <c r="B2543" s="23"/>
      <c r="C2543" s="2" t="s">
        <v>661</v>
      </c>
      <c r="D2543" s="45" t="s">
        <v>1998</v>
      </c>
      <c r="E2543" s="46"/>
      <c r="F2543" s="46"/>
      <c r="G2543" s="46"/>
      <c r="H2543" s="46"/>
      <c r="I2543" s="47"/>
    </row>
    <row r="2544" spans="2:9" ht="34.35" customHeight="1" x14ac:dyDescent="0.25">
      <c r="B2544" s="23"/>
      <c r="C2544" s="2" t="s">
        <v>663</v>
      </c>
      <c r="D2544" s="45" t="s">
        <v>1999</v>
      </c>
      <c r="E2544" s="46"/>
      <c r="F2544" s="46"/>
      <c r="G2544" s="46"/>
      <c r="H2544" s="46"/>
      <c r="I2544" s="47"/>
    </row>
    <row r="2545" spans="2:10" ht="63.4" customHeight="1" x14ac:dyDescent="0.25">
      <c r="B2545" s="23"/>
      <c r="C2545" s="2" t="s">
        <v>671</v>
      </c>
      <c r="D2545" s="45" t="s">
        <v>2000</v>
      </c>
      <c r="E2545" s="46"/>
      <c r="F2545" s="46"/>
      <c r="G2545" s="46"/>
      <c r="H2545" s="46"/>
      <c r="I2545" s="47"/>
    </row>
    <row r="2546" spans="2:10" ht="48.95" customHeight="1" x14ac:dyDescent="0.25">
      <c r="B2546" s="23"/>
      <c r="C2546" s="2" t="s">
        <v>680</v>
      </c>
      <c r="D2546" s="45" t="s">
        <v>2001</v>
      </c>
      <c r="E2546" s="46"/>
      <c r="F2546" s="46"/>
      <c r="G2546" s="46"/>
      <c r="H2546" s="46"/>
      <c r="I2546" s="47"/>
    </row>
    <row r="2547" spans="2:10" x14ac:dyDescent="0.25">
      <c r="B2547" s="23"/>
      <c r="I2547" s="26"/>
    </row>
    <row r="2548" spans="2:10" x14ac:dyDescent="0.25">
      <c r="B2548" s="23"/>
      <c r="C2548" s="55" t="s">
        <v>60</v>
      </c>
      <c r="D2548" s="46"/>
      <c r="E2548" s="46"/>
      <c r="F2548" s="46"/>
      <c r="G2548" s="46"/>
      <c r="H2548" s="46"/>
      <c r="I2548" s="47"/>
    </row>
    <row r="2549" spans="2:10" x14ac:dyDescent="0.25">
      <c r="B2549" s="23"/>
      <c r="I2549" s="26"/>
    </row>
    <row r="2550" spans="2:10" ht="19.899999999999999" customHeight="1" x14ac:dyDescent="0.25">
      <c r="B2550" s="24" t="s">
        <v>1859</v>
      </c>
      <c r="C2550" s="19" t="s">
        <v>220</v>
      </c>
      <c r="D2550" s="52" t="s">
        <v>1860</v>
      </c>
      <c r="E2550" s="53"/>
      <c r="F2550" s="53"/>
      <c r="G2550" s="53"/>
      <c r="H2550" s="53"/>
      <c r="I2550" s="54"/>
      <c r="J2550" s="17" t="str">
        <f>HYPERLINK("#'Ändringshistorik'!C37", "Ändringshistorik: [268]")</f>
        <v>Ändringshistorik: [268]</v>
      </c>
    </row>
    <row r="2551" spans="2:10" x14ac:dyDescent="0.25">
      <c r="B2551" s="23"/>
      <c r="C2551" s="2" t="s">
        <v>222</v>
      </c>
      <c r="I2551" s="26"/>
    </row>
    <row r="2552" spans="2:10" x14ac:dyDescent="0.25">
      <c r="B2552" s="23"/>
      <c r="I2552" s="26"/>
    </row>
    <row r="2553" spans="2:10" x14ac:dyDescent="0.25">
      <c r="B2553" s="23"/>
      <c r="C2553" s="51" t="s">
        <v>55</v>
      </c>
      <c r="D2553" s="46"/>
      <c r="E2553" s="46"/>
      <c r="F2553" s="46"/>
      <c r="G2553" s="46"/>
      <c r="H2553" s="46"/>
      <c r="I2553" s="47"/>
    </row>
    <row r="2554" spans="2:10" x14ac:dyDescent="0.25">
      <c r="B2554" s="23"/>
      <c r="I2554" s="26"/>
    </row>
    <row r="2555" spans="2:10" ht="34.35" customHeight="1" x14ac:dyDescent="0.25">
      <c r="B2555" s="24" t="s">
        <v>1861</v>
      </c>
      <c r="C2555" s="19" t="s">
        <v>213</v>
      </c>
      <c r="D2555" s="52" t="s">
        <v>1862</v>
      </c>
      <c r="E2555" s="53"/>
      <c r="F2555" s="53"/>
      <c r="G2555" s="53"/>
      <c r="H2555" s="53"/>
      <c r="I2555" s="54"/>
    </row>
    <row r="2556" spans="2:10" x14ac:dyDescent="0.25">
      <c r="B2556" s="23"/>
      <c r="I2556" s="26"/>
    </row>
    <row r="2557" spans="2:10" x14ac:dyDescent="0.25">
      <c r="B2557" s="23"/>
      <c r="C2557" s="55" t="s">
        <v>60</v>
      </c>
      <c r="D2557" s="46"/>
      <c r="E2557" s="46"/>
      <c r="F2557" s="46"/>
      <c r="G2557" s="46"/>
      <c r="H2557" s="46"/>
      <c r="I2557" s="47"/>
    </row>
    <row r="2558" spans="2:10" x14ac:dyDescent="0.25">
      <c r="B2558" s="23"/>
      <c r="I2558" s="26"/>
    </row>
    <row r="2559" spans="2:10" ht="19.899999999999999" customHeight="1" x14ac:dyDescent="0.25">
      <c r="B2559" s="24" t="s">
        <v>2002</v>
      </c>
      <c r="C2559" s="18" t="s">
        <v>49</v>
      </c>
      <c r="D2559" s="52" t="s">
        <v>2003</v>
      </c>
      <c r="E2559" s="53"/>
      <c r="F2559" s="53"/>
      <c r="G2559" s="53"/>
      <c r="H2559" s="53"/>
      <c r="I2559" s="54"/>
    </row>
    <row r="2560" spans="2:10" ht="19.899999999999999" customHeight="1" x14ac:dyDescent="0.25">
      <c r="B2560" s="23"/>
      <c r="C2560" s="2" t="s">
        <v>851</v>
      </c>
      <c r="D2560" s="45" t="s">
        <v>1978</v>
      </c>
      <c r="E2560" s="46"/>
      <c r="F2560" s="46"/>
      <c r="G2560" s="46"/>
      <c r="H2560" s="46"/>
      <c r="I2560" s="47"/>
    </row>
    <row r="2561" spans="2:9" ht="19.899999999999999" customHeight="1" x14ac:dyDescent="0.25">
      <c r="B2561" s="23"/>
      <c r="C2561" s="2" t="s">
        <v>657</v>
      </c>
      <c r="D2561" s="45" t="s">
        <v>1979</v>
      </c>
      <c r="E2561" s="46"/>
      <c r="F2561" s="46"/>
      <c r="G2561" s="46"/>
      <c r="H2561" s="46"/>
      <c r="I2561" s="47"/>
    </row>
    <row r="2562" spans="2:9" ht="19.899999999999999" customHeight="1" x14ac:dyDescent="0.25">
      <c r="B2562" s="23"/>
      <c r="C2562" s="2" t="s">
        <v>659</v>
      </c>
      <c r="D2562" s="45" t="s">
        <v>1980</v>
      </c>
      <c r="E2562" s="46"/>
      <c r="F2562" s="46"/>
      <c r="G2562" s="46"/>
      <c r="H2562" s="46"/>
      <c r="I2562" s="47"/>
    </row>
    <row r="2563" spans="2:9" ht="19.899999999999999" customHeight="1" x14ac:dyDescent="0.25">
      <c r="B2563" s="23"/>
      <c r="C2563" s="2" t="s">
        <v>661</v>
      </c>
      <c r="D2563" s="45" t="s">
        <v>1981</v>
      </c>
      <c r="E2563" s="46"/>
      <c r="F2563" s="46"/>
      <c r="G2563" s="46"/>
      <c r="H2563" s="46"/>
      <c r="I2563" s="47"/>
    </row>
    <row r="2564" spans="2:9" ht="19.899999999999999" customHeight="1" x14ac:dyDescent="0.25">
      <c r="B2564" s="23"/>
      <c r="C2564" s="2" t="s">
        <v>663</v>
      </c>
      <c r="D2564" s="45" t="s">
        <v>1982</v>
      </c>
      <c r="E2564" s="46"/>
      <c r="F2564" s="46"/>
      <c r="G2564" s="46"/>
      <c r="H2564" s="46"/>
      <c r="I2564" s="47"/>
    </row>
    <row r="2565" spans="2:9" ht="19.899999999999999" customHeight="1" x14ac:dyDescent="0.25">
      <c r="B2565" s="23"/>
      <c r="C2565" s="2" t="s">
        <v>1983</v>
      </c>
      <c r="D2565" s="45" t="s">
        <v>1984</v>
      </c>
      <c r="E2565" s="46"/>
      <c r="F2565" s="46"/>
      <c r="G2565" s="46"/>
      <c r="H2565" s="46"/>
      <c r="I2565" s="47"/>
    </row>
    <row r="2566" spans="2:9" ht="34.35" customHeight="1" x14ac:dyDescent="0.25">
      <c r="B2566" s="23"/>
      <c r="C2566" s="2" t="s">
        <v>1985</v>
      </c>
      <c r="D2566" s="45" t="s">
        <v>1986</v>
      </c>
      <c r="E2566" s="46"/>
      <c r="F2566" s="46"/>
      <c r="G2566" s="46"/>
      <c r="H2566" s="46"/>
      <c r="I2566" s="47"/>
    </row>
    <row r="2567" spans="2:9" ht="19.899999999999999" customHeight="1" x14ac:dyDescent="0.25">
      <c r="B2567" s="23"/>
      <c r="C2567" s="2" t="s">
        <v>1987</v>
      </c>
      <c r="D2567" s="45" t="s">
        <v>1988</v>
      </c>
      <c r="E2567" s="46"/>
      <c r="F2567" s="46"/>
      <c r="G2567" s="46"/>
      <c r="H2567" s="46"/>
      <c r="I2567" s="47"/>
    </row>
    <row r="2568" spans="2:9" ht="19.899999999999999" customHeight="1" x14ac:dyDescent="0.25">
      <c r="B2568" s="23"/>
      <c r="C2568" s="2" t="s">
        <v>1989</v>
      </c>
      <c r="D2568" s="45" t="s">
        <v>1990</v>
      </c>
      <c r="E2568" s="46"/>
      <c r="F2568" s="46"/>
      <c r="G2568" s="46"/>
      <c r="H2568" s="46"/>
      <c r="I2568" s="47"/>
    </row>
    <row r="2569" spans="2:9" ht="34.35" customHeight="1" x14ac:dyDescent="0.25">
      <c r="B2569" s="23"/>
      <c r="C2569" s="2" t="s">
        <v>1991</v>
      </c>
      <c r="D2569" s="45" t="s">
        <v>1992</v>
      </c>
      <c r="E2569" s="46"/>
      <c r="F2569" s="46"/>
      <c r="G2569" s="46"/>
      <c r="H2569" s="46"/>
      <c r="I2569" s="47"/>
    </row>
    <row r="2570" spans="2:9" x14ac:dyDescent="0.25">
      <c r="B2570" s="23"/>
      <c r="I2570" s="26"/>
    </row>
    <row r="2571" spans="2:9" x14ac:dyDescent="0.25">
      <c r="B2571" s="23"/>
      <c r="C2571" s="55" t="s">
        <v>60</v>
      </c>
      <c r="D2571" s="46"/>
      <c r="E2571" s="46"/>
      <c r="F2571" s="46"/>
      <c r="G2571" s="46"/>
      <c r="H2571" s="46"/>
      <c r="I2571" s="47"/>
    </row>
    <row r="2572" spans="2:9" x14ac:dyDescent="0.25">
      <c r="B2572" s="23"/>
      <c r="I2572" s="26"/>
    </row>
    <row r="2573" spans="2:9" ht="19.899999999999999" customHeight="1" x14ac:dyDescent="0.25">
      <c r="B2573" s="24" t="s">
        <v>2004</v>
      </c>
      <c r="C2573" s="18" t="s">
        <v>49</v>
      </c>
      <c r="D2573" s="52" t="s">
        <v>2005</v>
      </c>
      <c r="E2573" s="53"/>
      <c r="F2573" s="53"/>
      <c r="G2573" s="53"/>
      <c r="H2573" s="53"/>
      <c r="I2573" s="54"/>
    </row>
    <row r="2574" spans="2:9" ht="19.899999999999999" customHeight="1" x14ac:dyDescent="0.25">
      <c r="B2574" s="23"/>
      <c r="C2574" s="2" t="s">
        <v>851</v>
      </c>
      <c r="D2574" s="45" t="s">
        <v>1995</v>
      </c>
      <c r="E2574" s="46"/>
      <c r="F2574" s="46"/>
      <c r="G2574" s="46"/>
      <c r="H2574" s="46"/>
      <c r="I2574" s="47"/>
    </row>
    <row r="2575" spans="2:9" ht="34.35" customHeight="1" x14ac:dyDescent="0.25">
      <c r="B2575" s="23"/>
      <c r="C2575" s="2" t="s">
        <v>657</v>
      </c>
      <c r="D2575" s="45" t="s">
        <v>1996</v>
      </c>
      <c r="E2575" s="46"/>
      <c r="F2575" s="46"/>
      <c r="G2575" s="46"/>
      <c r="H2575" s="46"/>
      <c r="I2575" s="47"/>
    </row>
    <row r="2576" spans="2:9" ht="34.35" customHeight="1" x14ac:dyDescent="0.25">
      <c r="B2576" s="23"/>
      <c r="C2576" s="2" t="s">
        <v>659</v>
      </c>
      <c r="D2576" s="45" t="s">
        <v>1997</v>
      </c>
      <c r="E2576" s="46"/>
      <c r="F2576" s="46"/>
      <c r="G2576" s="46"/>
      <c r="H2576" s="46"/>
      <c r="I2576" s="47"/>
    </row>
    <row r="2577" spans="2:10" ht="34.35" customHeight="1" x14ac:dyDescent="0.25">
      <c r="B2577" s="23"/>
      <c r="C2577" s="2" t="s">
        <v>661</v>
      </c>
      <c r="D2577" s="45" t="s">
        <v>1998</v>
      </c>
      <c r="E2577" s="46"/>
      <c r="F2577" s="46"/>
      <c r="G2577" s="46"/>
      <c r="H2577" s="46"/>
      <c r="I2577" s="47"/>
    </row>
    <row r="2578" spans="2:10" ht="34.35" customHeight="1" x14ac:dyDescent="0.25">
      <c r="B2578" s="23"/>
      <c r="C2578" s="2" t="s">
        <v>663</v>
      </c>
      <c r="D2578" s="45" t="s">
        <v>1999</v>
      </c>
      <c r="E2578" s="46"/>
      <c r="F2578" s="46"/>
      <c r="G2578" s="46"/>
      <c r="H2578" s="46"/>
      <c r="I2578" s="47"/>
    </row>
    <row r="2579" spans="2:10" ht="63.4" customHeight="1" x14ac:dyDescent="0.25">
      <c r="B2579" s="23"/>
      <c r="C2579" s="2" t="s">
        <v>671</v>
      </c>
      <c r="D2579" s="45" t="s">
        <v>2000</v>
      </c>
      <c r="E2579" s="46"/>
      <c r="F2579" s="46"/>
      <c r="G2579" s="46"/>
      <c r="H2579" s="46"/>
      <c r="I2579" s="47"/>
    </row>
    <row r="2580" spans="2:10" ht="48.95" customHeight="1" x14ac:dyDescent="0.25">
      <c r="B2580" s="23"/>
      <c r="C2580" s="2" t="s">
        <v>680</v>
      </c>
      <c r="D2580" s="45" t="s">
        <v>2001</v>
      </c>
      <c r="E2580" s="46"/>
      <c r="F2580" s="46"/>
      <c r="G2580" s="46"/>
      <c r="H2580" s="46"/>
      <c r="I2580" s="47"/>
    </row>
    <row r="2581" spans="2:10" x14ac:dyDescent="0.25">
      <c r="B2581" s="23"/>
      <c r="I2581" s="26"/>
    </row>
    <row r="2582" spans="2:10" x14ac:dyDescent="0.25">
      <c r="B2582" s="23"/>
      <c r="C2582" s="55" t="s">
        <v>60</v>
      </c>
      <c r="D2582" s="46"/>
      <c r="E2582" s="46"/>
      <c r="F2582" s="46"/>
      <c r="G2582" s="46"/>
      <c r="H2582" s="46"/>
      <c r="I2582" s="47"/>
    </row>
    <row r="2583" spans="2:10" x14ac:dyDescent="0.25">
      <c r="B2583" s="23"/>
      <c r="I2583" s="26"/>
    </row>
    <row r="2584" spans="2:10" ht="19.899999999999999" customHeight="1" x14ac:dyDescent="0.25">
      <c r="B2584" s="24" t="s">
        <v>958</v>
      </c>
      <c r="C2584" s="19" t="s">
        <v>73</v>
      </c>
      <c r="D2584" s="52" t="s">
        <v>1881</v>
      </c>
      <c r="E2584" s="53"/>
      <c r="F2584" s="53"/>
      <c r="G2584" s="53"/>
      <c r="H2584" s="53"/>
      <c r="I2584" s="54"/>
      <c r="J2584" s="17" t="str">
        <f>HYPERLINK("#'Ändringshistorik'!C265", "Ändringshistorik: [121] ,[122]")</f>
        <v>Ändringshistorik: [121] ,[122]</v>
      </c>
    </row>
    <row r="2585" spans="2:10" x14ac:dyDescent="0.25">
      <c r="B2585" s="23"/>
      <c r="I2585" s="26"/>
    </row>
    <row r="2586" spans="2:10" x14ac:dyDescent="0.25">
      <c r="B2586" s="23"/>
      <c r="C2586" s="55" t="s">
        <v>60</v>
      </c>
      <c r="D2586" s="46"/>
      <c r="E2586" s="46"/>
      <c r="F2586" s="46"/>
      <c r="G2586" s="46"/>
      <c r="H2586" s="46"/>
      <c r="I2586" s="47"/>
    </row>
    <row r="2587" spans="2:10" x14ac:dyDescent="0.25">
      <c r="B2587" s="23"/>
      <c r="I2587" s="26"/>
    </row>
    <row r="2588" spans="2:10" ht="19.899999999999999" customHeight="1" x14ac:dyDescent="0.25">
      <c r="B2588" s="24" t="s">
        <v>1679</v>
      </c>
      <c r="C2588" s="18" t="s">
        <v>49</v>
      </c>
      <c r="D2588" s="52" t="s">
        <v>1882</v>
      </c>
      <c r="E2588" s="53"/>
      <c r="F2588" s="53"/>
      <c r="G2588" s="53"/>
      <c r="H2588" s="53"/>
      <c r="I2588" s="54"/>
      <c r="J2588" s="17" t="str">
        <f>HYPERLINK("#'Ändringshistorik'!C267", "Ändringshistorik: [123] ,[124]")</f>
        <v>Ändringshistorik: [123] ,[124]</v>
      </c>
    </row>
    <row r="2589" spans="2:10" ht="19.899999999999999" customHeight="1" x14ac:dyDescent="0.25">
      <c r="B2589" s="23"/>
      <c r="C2589" s="2" t="s">
        <v>1681</v>
      </c>
      <c r="D2589" s="45" t="s">
        <v>1682</v>
      </c>
      <c r="E2589" s="46"/>
      <c r="F2589" s="46"/>
      <c r="G2589" s="46"/>
      <c r="H2589" s="46"/>
      <c r="I2589" s="47"/>
    </row>
    <row r="2590" spans="2:10" ht="19.899999999999999" customHeight="1" x14ac:dyDescent="0.25">
      <c r="B2590" s="23"/>
      <c r="C2590" s="2" t="s">
        <v>1683</v>
      </c>
      <c r="D2590" s="45" t="s">
        <v>1684</v>
      </c>
      <c r="E2590" s="46"/>
      <c r="F2590" s="46"/>
      <c r="G2590" s="46"/>
      <c r="H2590" s="46"/>
      <c r="I2590" s="47"/>
    </row>
    <row r="2591" spans="2:10" ht="19.899999999999999" customHeight="1" x14ac:dyDescent="0.25">
      <c r="B2591" s="23"/>
      <c r="C2591" s="2" t="s">
        <v>1685</v>
      </c>
      <c r="D2591" s="45" t="s">
        <v>1686</v>
      </c>
      <c r="E2591" s="46"/>
      <c r="F2591" s="46"/>
      <c r="G2591" s="46"/>
      <c r="H2591" s="46"/>
      <c r="I2591" s="47"/>
    </row>
    <row r="2592" spans="2:10" x14ac:dyDescent="0.25">
      <c r="B2592" s="23"/>
      <c r="I2592" s="26"/>
    </row>
    <row r="2593" spans="2:10" x14ac:dyDescent="0.25">
      <c r="B2593" s="23"/>
      <c r="C2593" s="55" t="s">
        <v>60</v>
      </c>
      <c r="D2593" s="46"/>
      <c r="E2593" s="46"/>
      <c r="F2593" s="46"/>
      <c r="G2593" s="46"/>
      <c r="H2593" s="46"/>
      <c r="I2593" s="47"/>
    </row>
    <row r="2594" spans="2:10" x14ac:dyDescent="0.25">
      <c r="B2594" s="23"/>
      <c r="I2594" s="26"/>
    </row>
    <row r="2595" spans="2:10" ht="19.899999999999999" customHeight="1" x14ac:dyDescent="0.25">
      <c r="B2595" s="24" t="s">
        <v>1883</v>
      </c>
      <c r="C2595" s="18" t="s">
        <v>49</v>
      </c>
      <c r="D2595" s="52" t="s">
        <v>2006</v>
      </c>
      <c r="E2595" s="53"/>
      <c r="F2595" s="53"/>
      <c r="G2595" s="53"/>
      <c r="H2595" s="53"/>
      <c r="I2595" s="54"/>
      <c r="J2595" s="17" t="str">
        <f>HYPERLINK("#'Ändringshistorik'!C106", "Ändringshistorik: [230] ,[231] ,[232] ,[233]")</f>
        <v>Ändringshistorik: [230] ,[231] ,[232] ,[233]</v>
      </c>
    </row>
    <row r="2596" spans="2:10" ht="34.35" customHeight="1" x14ac:dyDescent="0.25">
      <c r="B2596" s="23"/>
      <c r="C2596" s="2" t="s">
        <v>1885</v>
      </c>
      <c r="D2596" s="45" t="s">
        <v>1886</v>
      </c>
      <c r="E2596" s="46"/>
      <c r="F2596" s="46"/>
      <c r="G2596" s="46"/>
      <c r="H2596" s="46"/>
      <c r="I2596" s="47"/>
    </row>
    <row r="2597" spans="2:10" ht="19.899999999999999" customHeight="1" x14ac:dyDescent="0.25">
      <c r="B2597" s="23"/>
      <c r="C2597" s="2" t="s">
        <v>1887</v>
      </c>
      <c r="D2597" s="45" t="s">
        <v>1888</v>
      </c>
      <c r="E2597" s="46"/>
      <c r="F2597" s="46"/>
      <c r="G2597" s="46"/>
      <c r="H2597" s="46"/>
      <c r="I2597" s="47"/>
    </row>
    <row r="2598" spans="2:10" ht="19.899999999999999" customHeight="1" x14ac:dyDescent="0.25">
      <c r="B2598" s="23"/>
      <c r="C2598" s="2" t="s">
        <v>300</v>
      </c>
      <c r="D2598" s="45" t="s">
        <v>1889</v>
      </c>
      <c r="E2598" s="46"/>
      <c r="F2598" s="46"/>
      <c r="G2598" s="46"/>
      <c r="H2598" s="46"/>
      <c r="I2598" s="47"/>
    </row>
    <row r="2599" spans="2:10" ht="19.899999999999999" customHeight="1" x14ac:dyDescent="0.25">
      <c r="B2599" s="23"/>
      <c r="C2599" s="2" t="s">
        <v>964</v>
      </c>
      <c r="D2599" s="45" t="s">
        <v>1890</v>
      </c>
      <c r="E2599" s="46"/>
      <c r="F2599" s="46"/>
      <c r="G2599" s="46"/>
      <c r="H2599" s="46"/>
      <c r="I2599" s="47"/>
    </row>
    <row r="2600" spans="2:10" x14ac:dyDescent="0.25">
      <c r="B2600" s="23"/>
      <c r="I2600" s="26"/>
    </row>
    <row r="2601" spans="2:10" x14ac:dyDescent="0.25">
      <c r="B2601" s="23"/>
      <c r="C2601" s="55" t="s">
        <v>60</v>
      </c>
      <c r="D2601" s="46"/>
      <c r="E2601" s="46"/>
      <c r="F2601" s="46"/>
      <c r="G2601" s="46"/>
      <c r="H2601" s="46"/>
      <c r="I2601" s="47"/>
    </row>
    <row r="2602" spans="2:10" x14ac:dyDescent="0.25">
      <c r="B2602" s="23"/>
      <c r="I2602" s="26"/>
    </row>
    <row r="2603" spans="2:10" ht="48.95" customHeight="1" x14ac:dyDescent="0.25">
      <c r="B2603" s="24" t="s">
        <v>2007</v>
      </c>
      <c r="C2603" s="19" t="s">
        <v>220</v>
      </c>
      <c r="D2603" s="52" t="s">
        <v>2008</v>
      </c>
      <c r="E2603" s="53"/>
      <c r="F2603" s="53"/>
      <c r="G2603" s="53"/>
      <c r="H2603" s="53"/>
      <c r="I2603" s="54"/>
    </row>
    <row r="2604" spans="2:10" x14ac:dyDescent="0.25">
      <c r="B2604" s="23"/>
      <c r="C2604" s="2" t="s">
        <v>222</v>
      </c>
      <c r="I2604" s="26"/>
    </row>
    <row r="2605" spans="2:10" x14ac:dyDescent="0.25">
      <c r="B2605" s="23"/>
      <c r="I2605" s="26"/>
    </row>
    <row r="2606" spans="2:10" x14ac:dyDescent="0.25">
      <c r="B2606" s="23"/>
      <c r="C2606" s="55" t="s">
        <v>60</v>
      </c>
      <c r="D2606" s="46"/>
      <c r="E2606" s="46"/>
      <c r="F2606" s="46"/>
      <c r="G2606" s="46"/>
      <c r="H2606" s="46"/>
      <c r="I2606" s="47"/>
    </row>
    <row r="2607" spans="2:10" x14ac:dyDescent="0.25">
      <c r="B2607" s="23"/>
      <c r="I2607" s="26"/>
    </row>
    <row r="2608" spans="2:10" ht="63.4" customHeight="1" x14ac:dyDescent="0.25">
      <c r="B2608" s="24" t="s">
        <v>2009</v>
      </c>
      <c r="C2608" s="18" t="s">
        <v>468</v>
      </c>
      <c r="D2608" s="52" t="s">
        <v>2010</v>
      </c>
      <c r="E2608" s="53"/>
      <c r="F2608" s="53"/>
      <c r="G2608" s="53"/>
      <c r="H2608" s="53"/>
      <c r="I2608" s="54"/>
    </row>
    <row r="2609" spans="2:10" ht="19.899999999999999" customHeight="1" x14ac:dyDescent="0.25">
      <c r="B2609" s="23"/>
      <c r="C2609" s="2" t="s">
        <v>470</v>
      </c>
      <c r="D2609" s="45" t="s">
        <v>2011</v>
      </c>
      <c r="E2609" s="46"/>
      <c r="F2609" s="46"/>
      <c r="G2609" s="46"/>
      <c r="H2609" s="46"/>
      <c r="I2609" s="47"/>
    </row>
    <row r="2610" spans="2:10" ht="19.899999999999999" customHeight="1" x14ac:dyDescent="0.25">
      <c r="B2610" s="23"/>
      <c r="C2610" s="2" t="s">
        <v>1910</v>
      </c>
      <c r="D2610" s="45" t="s">
        <v>2012</v>
      </c>
      <c r="E2610" s="46"/>
      <c r="F2610" s="46"/>
      <c r="G2610" s="46"/>
      <c r="H2610" s="46"/>
      <c r="I2610" s="47"/>
    </row>
    <row r="2611" spans="2:10" ht="19.899999999999999" customHeight="1" x14ac:dyDescent="0.25">
      <c r="B2611" s="23"/>
      <c r="C2611" s="2" t="s">
        <v>2013</v>
      </c>
      <c r="D2611" s="45" t="s">
        <v>2014</v>
      </c>
      <c r="E2611" s="46"/>
      <c r="F2611" s="46"/>
      <c r="G2611" s="46"/>
      <c r="H2611" s="46"/>
      <c r="I2611" s="47"/>
    </row>
    <row r="2612" spans="2:10" ht="19.899999999999999" customHeight="1" x14ac:dyDescent="0.25">
      <c r="B2612" s="23"/>
      <c r="C2612" s="2" t="s">
        <v>1912</v>
      </c>
      <c r="D2612" s="45" t="s">
        <v>2015</v>
      </c>
      <c r="E2612" s="46"/>
      <c r="F2612" s="46"/>
      <c r="G2612" s="46"/>
      <c r="H2612" s="46"/>
      <c r="I2612" s="47"/>
    </row>
    <row r="2613" spans="2:10" ht="19.899999999999999" customHeight="1" x14ac:dyDescent="0.25">
      <c r="B2613" s="23"/>
      <c r="C2613" s="2" t="s">
        <v>2016</v>
      </c>
      <c r="D2613" s="45" t="s">
        <v>2017</v>
      </c>
      <c r="E2613" s="46"/>
      <c r="F2613" s="46"/>
      <c r="G2613" s="46"/>
      <c r="H2613" s="46"/>
      <c r="I2613" s="47"/>
    </row>
    <row r="2614" spans="2:10" ht="19.899999999999999" customHeight="1" x14ac:dyDescent="0.25">
      <c r="B2614" s="23"/>
      <c r="C2614" s="2" t="s">
        <v>1914</v>
      </c>
      <c r="D2614" s="45" t="s">
        <v>2018</v>
      </c>
      <c r="E2614" s="46"/>
      <c r="F2614" s="46"/>
      <c r="G2614" s="46"/>
      <c r="H2614" s="46"/>
      <c r="I2614" s="47"/>
    </row>
    <row r="2615" spans="2:10" ht="19.899999999999999" customHeight="1" x14ac:dyDescent="0.25">
      <c r="B2615" s="23"/>
      <c r="C2615" s="2" t="s">
        <v>2019</v>
      </c>
      <c r="D2615" s="45" t="s">
        <v>2020</v>
      </c>
      <c r="E2615" s="46"/>
      <c r="F2615" s="46"/>
      <c r="G2615" s="46"/>
      <c r="H2615" s="46"/>
      <c r="I2615" s="47"/>
    </row>
    <row r="2616" spans="2:10" x14ac:dyDescent="0.25">
      <c r="B2616" s="23"/>
      <c r="I2616" s="26"/>
    </row>
    <row r="2617" spans="2:10" x14ac:dyDescent="0.25">
      <c r="B2617" s="23"/>
      <c r="C2617" s="55" t="s">
        <v>60</v>
      </c>
      <c r="D2617" s="46"/>
      <c r="E2617" s="46"/>
      <c r="F2617" s="46"/>
      <c r="G2617" s="46"/>
      <c r="H2617" s="46"/>
      <c r="I2617" s="47"/>
    </row>
    <row r="2618" spans="2:10" x14ac:dyDescent="0.25">
      <c r="B2618" s="25"/>
      <c r="C2618" s="21"/>
      <c r="D2618" s="21"/>
      <c r="E2618" s="21"/>
      <c r="F2618" s="21"/>
      <c r="G2618" s="21"/>
      <c r="H2618" s="21"/>
      <c r="I2618" s="27"/>
    </row>
    <row r="2620" spans="2:10" x14ac:dyDescent="0.25">
      <c r="B2620" s="3" t="s">
        <v>82</v>
      </c>
    </row>
    <row r="2621" spans="2:10" ht="19.899999999999999" customHeight="1" x14ac:dyDescent="0.25">
      <c r="B2621" s="29" t="s">
        <v>2021</v>
      </c>
      <c r="C2621" s="42" t="s">
        <v>2022</v>
      </c>
      <c r="D2621" s="43"/>
      <c r="E2621" s="43"/>
      <c r="F2621" s="43"/>
      <c r="G2621" s="43"/>
      <c r="H2621" s="43"/>
      <c r="I2621" s="44"/>
    </row>
    <row r="2622" spans="2:10" ht="19.899999999999999" customHeight="1" x14ac:dyDescent="0.25">
      <c r="B2622" s="30" t="s">
        <v>2023</v>
      </c>
      <c r="C2622" s="52" t="s">
        <v>2024</v>
      </c>
      <c r="D2622" s="53"/>
      <c r="E2622" s="46"/>
      <c r="F2622" s="46"/>
      <c r="G2622" s="46"/>
      <c r="H2622" s="46"/>
      <c r="I2622" s="47"/>
      <c r="J2622" s="17" t="str">
        <f>HYPERLINK("#'Ändringshistorik'!C38", "Ändringshistorik: [269]")</f>
        <v>Ändringshistorik: [269]</v>
      </c>
    </row>
    <row r="2623" spans="2:10" ht="19.899999999999999" customHeight="1" x14ac:dyDescent="0.25">
      <c r="B2623" s="30" t="s">
        <v>2025</v>
      </c>
      <c r="C2623" s="52" t="s">
        <v>2026</v>
      </c>
      <c r="D2623" s="53"/>
      <c r="E2623" s="46"/>
      <c r="F2623" s="46"/>
      <c r="G2623" s="46"/>
      <c r="H2623" s="46"/>
      <c r="I2623" s="47"/>
      <c r="J2623" s="17" t="str">
        <f>HYPERLINK("#'Ändringshistorik'!C39", "Ändringshistorik: [270]")</f>
        <v>Ändringshistorik: [270]</v>
      </c>
    </row>
    <row r="2624" spans="2:10" ht="19.899999999999999" customHeight="1" x14ac:dyDescent="0.25">
      <c r="B2624" s="30" t="s">
        <v>2027</v>
      </c>
      <c r="C2624" s="52" t="s">
        <v>2028</v>
      </c>
      <c r="D2624" s="53"/>
      <c r="E2624" s="46"/>
      <c r="F2624" s="46"/>
      <c r="G2624" s="46"/>
      <c r="H2624" s="46"/>
      <c r="I2624" s="47"/>
    </row>
    <row r="2625" spans="2:10" ht="34.35" customHeight="1" x14ac:dyDescent="0.25">
      <c r="B2625" s="30" t="s">
        <v>2029</v>
      </c>
      <c r="C2625" s="52" t="s">
        <v>2030</v>
      </c>
      <c r="D2625" s="53"/>
      <c r="E2625" s="46"/>
      <c r="F2625" s="46"/>
      <c r="G2625" s="46"/>
      <c r="H2625" s="46"/>
      <c r="I2625" s="47"/>
      <c r="J2625" s="17" t="str">
        <f>HYPERLINK("#'Ändringshistorik'!C41", "Ändringshistorik: [272]")</f>
        <v>Ändringshistorik: [272]</v>
      </c>
    </row>
    <row r="2626" spans="2:10" ht="19.899999999999999" customHeight="1" x14ac:dyDescent="0.25">
      <c r="B2626" s="30" t="s">
        <v>2031</v>
      </c>
      <c r="C2626" s="52" t="s">
        <v>2032</v>
      </c>
      <c r="D2626" s="53"/>
      <c r="E2626" s="46"/>
      <c r="F2626" s="46"/>
      <c r="G2626" s="46"/>
      <c r="H2626" s="46"/>
      <c r="I2626" s="47"/>
      <c r="J2626" s="17" t="str">
        <f>HYPERLINK("#'Ändringshistorik'!C43", "Ändringshistorik: [274]")</f>
        <v>Ändringshistorik: [274]</v>
      </c>
    </row>
    <row r="2627" spans="2:10" ht="19.899999999999999" customHeight="1" x14ac:dyDescent="0.25">
      <c r="B2627" s="30" t="s">
        <v>2033</v>
      </c>
      <c r="C2627" s="52" t="s">
        <v>2034</v>
      </c>
      <c r="D2627" s="53"/>
      <c r="E2627" s="46"/>
      <c r="F2627" s="46"/>
      <c r="G2627" s="46"/>
      <c r="H2627" s="46"/>
      <c r="I2627" s="47"/>
      <c r="J2627" s="17" t="str">
        <f>HYPERLINK("#'Ändringshistorik'!C44", "Ändringshistorik: [275]")</f>
        <v>Ändringshistorik: [275]</v>
      </c>
    </row>
    <row r="2628" spans="2:10" ht="19.899999999999999" customHeight="1" x14ac:dyDescent="0.25">
      <c r="B2628" s="30" t="s">
        <v>2035</v>
      </c>
      <c r="C2628" s="52" t="s">
        <v>2036</v>
      </c>
      <c r="D2628" s="53"/>
      <c r="E2628" s="46"/>
      <c r="F2628" s="46"/>
      <c r="G2628" s="46"/>
      <c r="H2628" s="46"/>
      <c r="I2628" s="47"/>
      <c r="J2628" s="17" t="str">
        <f>HYPERLINK("#'Ändringshistorik'!C45", "Ändringshistorik: [276]")</f>
        <v>Ändringshistorik: [276]</v>
      </c>
    </row>
    <row r="2629" spans="2:10" ht="19.899999999999999" customHeight="1" x14ac:dyDescent="0.25">
      <c r="B2629" s="30" t="s">
        <v>2037</v>
      </c>
      <c r="C2629" s="52" t="s">
        <v>2038</v>
      </c>
      <c r="D2629" s="53"/>
      <c r="E2629" s="46"/>
      <c r="F2629" s="46"/>
      <c r="G2629" s="46"/>
      <c r="H2629" s="46"/>
      <c r="I2629" s="47"/>
      <c r="J2629" s="17" t="str">
        <f>HYPERLINK("#'Ändringshistorik'!C155", "Ändringshistorik: [196] ,[277]")</f>
        <v>Ändringshistorik: [196] ,[277]</v>
      </c>
    </row>
    <row r="2630" spans="2:10" ht="19.899999999999999" customHeight="1" x14ac:dyDescent="0.25">
      <c r="B2630" s="30" t="s">
        <v>2039</v>
      </c>
      <c r="C2630" s="52" t="s">
        <v>2040</v>
      </c>
      <c r="D2630" s="53"/>
      <c r="E2630" s="46"/>
      <c r="F2630" s="46"/>
      <c r="G2630" s="46"/>
      <c r="H2630" s="46"/>
      <c r="I2630" s="47"/>
      <c r="J2630" s="17" t="str">
        <f>HYPERLINK("#'Ändringshistorik'!C47", "Ändringshistorik: [278]")</f>
        <v>Ändringshistorik: [278]</v>
      </c>
    </row>
    <row r="2631" spans="2:10" ht="19.899999999999999" customHeight="1" x14ac:dyDescent="0.25">
      <c r="B2631" s="30" t="s">
        <v>2041</v>
      </c>
      <c r="C2631" s="52" t="s">
        <v>2042</v>
      </c>
      <c r="D2631" s="53"/>
      <c r="E2631" s="46"/>
      <c r="F2631" s="46"/>
      <c r="G2631" s="46"/>
      <c r="H2631" s="46"/>
      <c r="I2631" s="47"/>
    </row>
    <row r="2632" spans="2:10" ht="19.899999999999999" customHeight="1" x14ac:dyDescent="0.25">
      <c r="B2632" s="30" t="s">
        <v>2043</v>
      </c>
      <c r="C2632" s="52" t="s">
        <v>2044</v>
      </c>
      <c r="D2632" s="53"/>
      <c r="E2632" s="46"/>
      <c r="F2632" s="46"/>
      <c r="G2632" s="46"/>
      <c r="H2632" s="46"/>
      <c r="I2632" s="47"/>
    </row>
    <row r="2633" spans="2:10" ht="19.899999999999999" customHeight="1" x14ac:dyDescent="0.25">
      <c r="B2633" s="30" t="s">
        <v>2045</v>
      </c>
      <c r="C2633" s="52" t="s">
        <v>2046</v>
      </c>
      <c r="D2633" s="53"/>
      <c r="E2633" s="46"/>
      <c r="F2633" s="46"/>
      <c r="G2633" s="46"/>
      <c r="H2633" s="46"/>
      <c r="I2633" s="47"/>
    </row>
    <row r="2634" spans="2:10" ht="19.899999999999999" customHeight="1" x14ac:dyDescent="0.25">
      <c r="B2634" s="30" t="s">
        <v>2047</v>
      </c>
      <c r="C2634" s="52" t="s">
        <v>2048</v>
      </c>
      <c r="D2634" s="53"/>
      <c r="E2634" s="46"/>
      <c r="F2634" s="46"/>
      <c r="G2634" s="46"/>
      <c r="H2634" s="46"/>
      <c r="I2634" s="47"/>
    </row>
    <row r="2635" spans="2:10" ht="19.899999999999999" customHeight="1" x14ac:dyDescent="0.25">
      <c r="B2635" s="30" t="s">
        <v>2049</v>
      </c>
      <c r="C2635" s="52" t="s">
        <v>2050</v>
      </c>
      <c r="D2635" s="53"/>
      <c r="E2635" s="46"/>
      <c r="F2635" s="46"/>
      <c r="G2635" s="46"/>
      <c r="H2635" s="46"/>
      <c r="I2635" s="47"/>
    </row>
    <row r="2636" spans="2:10" ht="19.899999999999999" customHeight="1" x14ac:dyDescent="0.25">
      <c r="B2636" s="30" t="s">
        <v>2051</v>
      </c>
      <c r="C2636" s="52" t="s">
        <v>2052</v>
      </c>
      <c r="D2636" s="53"/>
      <c r="E2636" s="46"/>
      <c r="F2636" s="46"/>
      <c r="G2636" s="46"/>
      <c r="H2636" s="46"/>
      <c r="I2636" s="47"/>
    </row>
    <row r="2637" spans="2:10" ht="19.899999999999999" customHeight="1" x14ac:dyDescent="0.25">
      <c r="B2637" s="30" t="s">
        <v>2053</v>
      </c>
      <c r="C2637" s="52" t="s">
        <v>2054</v>
      </c>
      <c r="D2637" s="53"/>
      <c r="E2637" s="46"/>
      <c r="F2637" s="46"/>
      <c r="G2637" s="46"/>
      <c r="H2637" s="46"/>
      <c r="I2637" s="47"/>
    </row>
    <row r="2638" spans="2:10" ht="19.899999999999999" customHeight="1" x14ac:dyDescent="0.25">
      <c r="B2638" s="30" t="s">
        <v>2055</v>
      </c>
      <c r="C2638" s="52" t="s">
        <v>2056</v>
      </c>
      <c r="D2638" s="53"/>
      <c r="E2638" s="46"/>
      <c r="F2638" s="46"/>
      <c r="G2638" s="46"/>
      <c r="H2638" s="46"/>
      <c r="I2638" s="47"/>
    </row>
    <row r="2639" spans="2:10" ht="34.35" customHeight="1" x14ac:dyDescent="0.25">
      <c r="B2639" s="30" t="s">
        <v>2057</v>
      </c>
      <c r="C2639" s="52" t="s">
        <v>2058</v>
      </c>
      <c r="D2639" s="53"/>
      <c r="E2639" s="46"/>
      <c r="F2639" s="46"/>
      <c r="G2639" s="46"/>
      <c r="H2639" s="46"/>
      <c r="I2639" s="47"/>
    </row>
    <row r="2640" spans="2:10" ht="19.899999999999999" customHeight="1" x14ac:dyDescent="0.25">
      <c r="B2640" s="30" t="s">
        <v>2059</v>
      </c>
      <c r="C2640" s="52" t="s">
        <v>2060</v>
      </c>
      <c r="D2640" s="53"/>
      <c r="E2640" s="46"/>
      <c r="F2640" s="46"/>
      <c r="G2640" s="46"/>
      <c r="H2640" s="46"/>
      <c r="I2640" s="47"/>
    </row>
    <row r="2641" spans="1:10" ht="34.35" customHeight="1" x14ac:dyDescent="0.25">
      <c r="B2641" s="30" t="s">
        <v>2061</v>
      </c>
      <c r="C2641" s="52" t="s">
        <v>2062</v>
      </c>
      <c r="D2641" s="53"/>
      <c r="E2641" s="46"/>
      <c r="F2641" s="46"/>
      <c r="G2641" s="46"/>
      <c r="H2641" s="46"/>
      <c r="I2641" s="47"/>
    </row>
    <row r="2642" spans="1:10" ht="19.899999999999999" customHeight="1" x14ac:dyDescent="0.25">
      <c r="B2642" s="30" t="s">
        <v>2063</v>
      </c>
      <c r="C2642" s="52" t="s">
        <v>2064</v>
      </c>
      <c r="D2642" s="53"/>
      <c r="E2642" s="46"/>
      <c r="F2642" s="46"/>
      <c r="G2642" s="46"/>
      <c r="H2642" s="46"/>
      <c r="I2642" s="47"/>
    </row>
    <row r="2643" spans="1:10" ht="34.35" customHeight="1" x14ac:dyDescent="0.25">
      <c r="B2643" s="30" t="s">
        <v>2065</v>
      </c>
      <c r="C2643" s="52" t="s">
        <v>2066</v>
      </c>
      <c r="D2643" s="53"/>
      <c r="E2643" s="46"/>
      <c r="F2643" s="46"/>
      <c r="G2643" s="46"/>
      <c r="H2643" s="46"/>
      <c r="I2643" s="47"/>
    </row>
    <row r="2644" spans="1:10" ht="19.899999999999999" customHeight="1" x14ac:dyDescent="0.25">
      <c r="B2644" s="30" t="s">
        <v>2067</v>
      </c>
      <c r="C2644" s="52" t="s">
        <v>2068</v>
      </c>
      <c r="D2644" s="53"/>
      <c r="E2644" s="46"/>
      <c r="F2644" s="46"/>
      <c r="G2644" s="46"/>
      <c r="H2644" s="46"/>
      <c r="I2644" s="47"/>
    </row>
    <row r="2645" spans="1:10" ht="19.899999999999999" customHeight="1" x14ac:dyDescent="0.25">
      <c r="B2645" s="30" t="s">
        <v>2069</v>
      </c>
      <c r="C2645" s="52" t="s">
        <v>2070</v>
      </c>
      <c r="D2645" s="53"/>
      <c r="E2645" s="46"/>
      <c r="F2645" s="46"/>
      <c r="G2645" s="46"/>
      <c r="H2645" s="46"/>
      <c r="I2645" s="47"/>
    </row>
    <row r="2646" spans="1:10" ht="19.899999999999999" customHeight="1" x14ac:dyDescent="0.25">
      <c r="B2646" s="30" t="s">
        <v>2071</v>
      </c>
      <c r="C2646" s="52" t="s">
        <v>2072</v>
      </c>
      <c r="D2646" s="53"/>
      <c r="E2646" s="46"/>
      <c r="F2646" s="46"/>
      <c r="G2646" s="46"/>
      <c r="H2646" s="46"/>
      <c r="I2646" s="47"/>
    </row>
    <row r="2647" spans="1:10" ht="19.899999999999999" customHeight="1" x14ac:dyDescent="0.25">
      <c r="B2647" s="30" t="s">
        <v>2073</v>
      </c>
      <c r="C2647" s="52" t="s">
        <v>2074</v>
      </c>
      <c r="D2647" s="53"/>
      <c r="E2647" s="46"/>
      <c r="F2647" s="46"/>
      <c r="G2647" s="46"/>
      <c r="H2647" s="46"/>
      <c r="I2647" s="47"/>
    </row>
    <row r="2648" spans="1:10" ht="34.35" customHeight="1" x14ac:dyDescent="0.25">
      <c r="B2648" s="30" t="s">
        <v>2075</v>
      </c>
      <c r="C2648" s="52" t="s">
        <v>2076</v>
      </c>
      <c r="D2648" s="53"/>
      <c r="E2648" s="46"/>
      <c r="F2648" s="46"/>
      <c r="G2648" s="46"/>
      <c r="H2648" s="46"/>
      <c r="I2648" s="47"/>
    </row>
    <row r="2649" spans="1:10" ht="19.899999999999999" customHeight="1" x14ac:dyDescent="0.25">
      <c r="B2649" s="30" t="s">
        <v>2077</v>
      </c>
      <c r="C2649" s="52" t="s">
        <v>2078</v>
      </c>
      <c r="D2649" s="53"/>
      <c r="E2649" s="46"/>
      <c r="F2649" s="46"/>
      <c r="G2649" s="46"/>
      <c r="H2649" s="46"/>
      <c r="I2649" s="47"/>
    </row>
    <row r="2650" spans="1:10" ht="19.899999999999999" customHeight="1" x14ac:dyDescent="0.25">
      <c r="B2650" s="31" t="s">
        <v>2079</v>
      </c>
      <c r="C2650" s="59" t="s">
        <v>2080</v>
      </c>
      <c r="D2650" s="60"/>
      <c r="E2650" s="49"/>
      <c r="F2650" s="49"/>
      <c r="G2650" s="49"/>
      <c r="H2650" s="49"/>
      <c r="I2650" s="50"/>
    </row>
    <row r="2654" spans="1:10" ht="19.899999999999999" customHeight="1" x14ac:dyDescent="0.25">
      <c r="A2654" s="45" t="s">
        <v>30</v>
      </c>
      <c r="B2654" s="46"/>
      <c r="C2654" s="46"/>
      <c r="D2654" s="46"/>
      <c r="E2654" s="46"/>
      <c r="F2654" s="46"/>
      <c r="G2654" s="46"/>
      <c r="H2654" s="46"/>
      <c r="I2654" s="46"/>
    </row>
    <row r="2655" spans="1:10" ht="18.75" x14ac:dyDescent="0.25">
      <c r="A2655" s="16" t="s">
        <v>2081</v>
      </c>
      <c r="B2655" s="3" t="s">
        <v>47</v>
      </c>
      <c r="J2655" s="17" t="str">
        <f>HYPERLINK("#'Ändringshistorik'!C352", "Ändringshistorik: [19] ,[30] ,[199] ,[224] ,[306] ,[307] ,[312] ,[314] ,[315] ,[316] ,[317] ,[318] ,[319] ,[320] ,[321] ,[322] ,[323] ,[324] ,[325] ,[326] ,[327] ,[328]")</f>
        <v>Ändringshistorik: [19] ,[30] ,[199] ,[224] ,[306] ,[307] ,[312] ,[314] ,[315] ,[316] ,[317] ,[318] ,[319] ,[320] ,[321] ,[322] ,[323] ,[324] ,[325] ,[326] ,[327] ,[328]</v>
      </c>
    </row>
    <row r="2656" spans="1:10" ht="19.899999999999999" customHeight="1" x14ac:dyDescent="0.25">
      <c r="B2656" s="22" t="s">
        <v>1859</v>
      </c>
      <c r="C2656" s="32" t="s">
        <v>220</v>
      </c>
      <c r="D2656" s="42" t="s">
        <v>1860</v>
      </c>
      <c r="E2656" s="43"/>
      <c r="F2656" s="43"/>
      <c r="G2656" s="43"/>
      <c r="H2656" s="43"/>
      <c r="I2656" s="44"/>
      <c r="J2656" s="17" t="str">
        <f>HYPERLINK("#'Ändringshistorik'!C74", "Ändringshistorik: [305]")</f>
        <v>Ändringshistorik: [305]</v>
      </c>
    </row>
    <row r="2657" spans="2:10" x14ac:dyDescent="0.25">
      <c r="B2657" s="23"/>
      <c r="C2657" s="2" t="s">
        <v>222</v>
      </c>
      <c r="I2657" s="26"/>
    </row>
    <row r="2658" spans="2:10" x14ac:dyDescent="0.25">
      <c r="B2658" s="23"/>
      <c r="I2658" s="26"/>
    </row>
    <row r="2659" spans="2:10" x14ac:dyDescent="0.25">
      <c r="B2659" s="23"/>
      <c r="C2659" s="51" t="s">
        <v>55</v>
      </c>
      <c r="D2659" s="46"/>
      <c r="E2659" s="46"/>
      <c r="F2659" s="46"/>
      <c r="G2659" s="46"/>
      <c r="H2659" s="46"/>
      <c r="I2659" s="47"/>
    </row>
    <row r="2660" spans="2:10" x14ac:dyDescent="0.25">
      <c r="B2660" s="23"/>
      <c r="I2660" s="26"/>
    </row>
    <row r="2661" spans="2:10" ht="34.35" customHeight="1" x14ac:dyDescent="0.25">
      <c r="B2661" s="24" t="s">
        <v>1861</v>
      </c>
      <c r="C2661" s="19" t="s">
        <v>213</v>
      </c>
      <c r="D2661" s="52" t="s">
        <v>1862</v>
      </c>
      <c r="E2661" s="53"/>
      <c r="F2661" s="53"/>
      <c r="G2661" s="53"/>
      <c r="H2661" s="53"/>
      <c r="I2661" s="54"/>
    </row>
    <row r="2662" spans="2:10" x14ac:dyDescent="0.25">
      <c r="B2662" s="23"/>
      <c r="I2662" s="26"/>
    </row>
    <row r="2663" spans="2:10" x14ac:dyDescent="0.25">
      <c r="B2663" s="23"/>
      <c r="C2663" s="55" t="s">
        <v>60</v>
      </c>
      <c r="D2663" s="46"/>
      <c r="E2663" s="46"/>
      <c r="F2663" s="46"/>
      <c r="G2663" s="46"/>
      <c r="H2663" s="46"/>
      <c r="I2663" s="47"/>
    </row>
    <row r="2664" spans="2:10" x14ac:dyDescent="0.25">
      <c r="B2664" s="23"/>
      <c r="I2664" s="26"/>
    </row>
    <row r="2665" spans="2:10" ht="34.35" customHeight="1" x14ac:dyDescent="0.25">
      <c r="B2665" s="24" t="s">
        <v>2082</v>
      </c>
      <c r="C2665" s="19" t="s">
        <v>220</v>
      </c>
      <c r="D2665" s="52" t="s">
        <v>2083</v>
      </c>
      <c r="E2665" s="53"/>
      <c r="F2665" s="53"/>
      <c r="G2665" s="53"/>
      <c r="H2665" s="53"/>
      <c r="I2665" s="54"/>
    </row>
    <row r="2666" spans="2:10" x14ac:dyDescent="0.25">
      <c r="B2666" s="23"/>
      <c r="C2666" s="2" t="s">
        <v>222</v>
      </c>
      <c r="I2666" s="26"/>
    </row>
    <row r="2667" spans="2:10" x14ac:dyDescent="0.25">
      <c r="B2667" s="23"/>
      <c r="I2667" s="26"/>
    </row>
    <row r="2668" spans="2:10" x14ac:dyDescent="0.25">
      <c r="B2668" s="23"/>
      <c r="C2668" s="55" t="s">
        <v>60</v>
      </c>
      <c r="D2668" s="46"/>
      <c r="E2668" s="46"/>
      <c r="F2668" s="46"/>
      <c r="G2668" s="46"/>
      <c r="H2668" s="46"/>
      <c r="I2668" s="47"/>
    </row>
    <row r="2669" spans="2:10" x14ac:dyDescent="0.25">
      <c r="B2669" s="23"/>
      <c r="I2669" s="26"/>
    </row>
    <row r="2670" spans="2:10" ht="34.35" customHeight="1" x14ac:dyDescent="0.25">
      <c r="B2670" s="24" t="s">
        <v>2084</v>
      </c>
      <c r="C2670" s="19" t="str">
        <f>HYPERLINK("#'Json-dokumentation'!A3237", "Element av typen 'OmvårdnadDeliriumNuDesc'")</f>
        <v>Element av typen 'OmvårdnadDeliriumNuDesc'</v>
      </c>
      <c r="D2670" s="52" t="s">
        <v>2085</v>
      </c>
      <c r="E2670" s="53"/>
      <c r="F2670" s="53"/>
      <c r="G2670" s="53"/>
      <c r="H2670" s="53"/>
      <c r="I2670" s="54"/>
      <c r="J2670" s="17" t="str">
        <f>HYPERLINK("#'Ändringshistorik'!C69", "Ändringshistorik: [300] ,[301] ,[302]")</f>
        <v>Ändringshistorik: [300] ,[301] ,[302]</v>
      </c>
    </row>
    <row r="2671" spans="2:10" x14ac:dyDescent="0.25">
      <c r="B2671" s="23"/>
      <c r="C2671" s="55" t="s">
        <v>60</v>
      </c>
      <c r="D2671" s="46"/>
      <c r="E2671" s="46"/>
      <c r="F2671" s="46"/>
      <c r="G2671" s="46"/>
      <c r="H2671" s="46"/>
      <c r="I2671" s="47"/>
    </row>
    <row r="2672" spans="2:10" x14ac:dyDescent="0.25">
      <c r="B2672" s="23"/>
      <c r="I2672" s="26"/>
    </row>
    <row r="2673" spans="2:10" ht="19.899999999999999" customHeight="1" x14ac:dyDescent="0.25">
      <c r="B2673" s="24" t="s">
        <v>958</v>
      </c>
      <c r="C2673" s="19" t="s">
        <v>73</v>
      </c>
      <c r="D2673" s="52" t="s">
        <v>1881</v>
      </c>
      <c r="E2673" s="53"/>
      <c r="F2673" s="53"/>
      <c r="G2673" s="53"/>
      <c r="H2673" s="53"/>
      <c r="I2673" s="54"/>
      <c r="J2673" s="17" t="str">
        <f>HYPERLINK("#'Ändringshistorik'!C269", "Ändringshistorik: [125] ,[126]")</f>
        <v>Ändringshistorik: [125] ,[126]</v>
      </c>
    </row>
    <row r="2674" spans="2:10" x14ac:dyDescent="0.25">
      <c r="B2674" s="23"/>
      <c r="I2674" s="26"/>
    </row>
    <row r="2675" spans="2:10" x14ac:dyDescent="0.25">
      <c r="B2675" s="23"/>
      <c r="C2675" s="55" t="s">
        <v>60</v>
      </c>
      <c r="D2675" s="46"/>
      <c r="E2675" s="46"/>
      <c r="F2675" s="46"/>
      <c r="G2675" s="46"/>
      <c r="H2675" s="46"/>
      <c r="I2675" s="47"/>
    </row>
    <row r="2676" spans="2:10" x14ac:dyDescent="0.25">
      <c r="B2676" s="23"/>
      <c r="I2676" s="26"/>
    </row>
    <row r="2677" spans="2:10" ht="19.899999999999999" customHeight="1" x14ac:dyDescent="0.25">
      <c r="B2677" s="24" t="s">
        <v>1679</v>
      </c>
      <c r="C2677" s="18" t="s">
        <v>49</v>
      </c>
      <c r="D2677" s="52" t="s">
        <v>1882</v>
      </c>
      <c r="E2677" s="53"/>
      <c r="F2677" s="53"/>
      <c r="G2677" s="53"/>
      <c r="H2677" s="53"/>
      <c r="I2677" s="54"/>
      <c r="J2677" s="17" t="str">
        <f>HYPERLINK("#'Ändringshistorik'!C271", "Ändringshistorik: [127] ,[128]")</f>
        <v>Ändringshistorik: [127] ,[128]</v>
      </c>
    </row>
    <row r="2678" spans="2:10" ht="19.899999999999999" customHeight="1" x14ac:dyDescent="0.25">
      <c r="B2678" s="23"/>
      <c r="C2678" s="2" t="s">
        <v>1681</v>
      </c>
      <c r="D2678" s="45" t="s">
        <v>1682</v>
      </c>
      <c r="E2678" s="46"/>
      <c r="F2678" s="46"/>
      <c r="G2678" s="46"/>
      <c r="H2678" s="46"/>
      <c r="I2678" s="47"/>
    </row>
    <row r="2679" spans="2:10" ht="19.899999999999999" customHeight="1" x14ac:dyDescent="0.25">
      <c r="B2679" s="23"/>
      <c r="C2679" s="2" t="s">
        <v>1683</v>
      </c>
      <c r="D2679" s="45" t="s">
        <v>1684</v>
      </c>
      <c r="E2679" s="46"/>
      <c r="F2679" s="46"/>
      <c r="G2679" s="46"/>
      <c r="H2679" s="46"/>
      <c r="I2679" s="47"/>
    </row>
    <row r="2680" spans="2:10" ht="19.899999999999999" customHeight="1" x14ac:dyDescent="0.25">
      <c r="B2680" s="23"/>
      <c r="C2680" s="2" t="s">
        <v>1685</v>
      </c>
      <c r="D2680" s="45" t="s">
        <v>1686</v>
      </c>
      <c r="E2680" s="46"/>
      <c r="F2680" s="46"/>
      <c r="G2680" s="46"/>
      <c r="H2680" s="46"/>
      <c r="I2680" s="47"/>
    </row>
    <row r="2681" spans="2:10" x14ac:dyDescent="0.25">
      <c r="B2681" s="23"/>
      <c r="I2681" s="26"/>
    </row>
    <row r="2682" spans="2:10" x14ac:dyDescent="0.25">
      <c r="B2682" s="23"/>
      <c r="C2682" s="55" t="s">
        <v>60</v>
      </c>
      <c r="D2682" s="46"/>
      <c r="E2682" s="46"/>
      <c r="F2682" s="46"/>
      <c r="G2682" s="46"/>
      <c r="H2682" s="46"/>
      <c r="I2682" s="47"/>
    </row>
    <row r="2683" spans="2:10" x14ac:dyDescent="0.25">
      <c r="B2683" s="23"/>
      <c r="I2683" s="26"/>
    </row>
    <row r="2684" spans="2:10" ht="34.35" customHeight="1" x14ac:dyDescent="0.25">
      <c r="B2684" s="24" t="s">
        <v>1883</v>
      </c>
      <c r="C2684" s="18" t="s">
        <v>49</v>
      </c>
      <c r="D2684" s="52" t="s">
        <v>2086</v>
      </c>
      <c r="E2684" s="53"/>
      <c r="F2684" s="53"/>
      <c r="G2684" s="53"/>
      <c r="H2684" s="53"/>
      <c r="I2684" s="54"/>
      <c r="J2684" s="17" t="str">
        <f>HYPERLINK("#'Ändringshistorik'!C110", "Ändringshistorik: [234] ,[235] ,[236]")</f>
        <v>Ändringshistorik: [234] ,[235] ,[236]</v>
      </c>
    </row>
    <row r="2685" spans="2:10" ht="34.35" customHeight="1" x14ac:dyDescent="0.25">
      <c r="B2685" s="23"/>
      <c r="C2685" s="2" t="s">
        <v>1885</v>
      </c>
      <c r="D2685" s="45" t="s">
        <v>1886</v>
      </c>
      <c r="E2685" s="46"/>
      <c r="F2685" s="46"/>
      <c r="G2685" s="46"/>
      <c r="H2685" s="46"/>
      <c r="I2685" s="47"/>
    </row>
    <row r="2686" spans="2:10" ht="34.35" customHeight="1" x14ac:dyDescent="0.25">
      <c r="B2686" s="23"/>
      <c r="C2686" s="2" t="s">
        <v>2087</v>
      </c>
      <c r="D2686" s="45" t="s">
        <v>2088</v>
      </c>
      <c r="E2686" s="46"/>
      <c r="F2686" s="46"/>
      <c r="G2686" s="46"/>
      <c r="H2686" s="46"/>
      <c r="I2686" s="47"/>
    </row>
    <row r="2687" spans="2:10" ht="19.899999999999999" customHeight="1" x14ac:dyDescent="0.25">
      <c r="B2687" s="23"/>
      <c r="C2687" s="2" t="s">
        <v>1887</v>
      </c>
      <c r="D2687" s="45" t="s">
        <v>1888</v>
      </c>
      <c r="E2687" s="46"/>
      <c r="F2687" s="46"/>
      <c r="G2687" s="46"/>
      <c r="H2687" s="46"/>
      <c r="I2687" s="47"/>
    </row>
    <row r="2688" spans="2:10" ht="19.899999999999999" customHeight="1" x14ac:dyDescent="0.25">
      <c r="B2688" s="23"/>
      <c r="C2688" s="2" t="s">
        <v>300</v>
      </c>
      <c r="D2688" s="45" t="s">
        <v>1889</v>
      </c>
      <c r="E2688" s="46"/>
      <c r="F2688" s="46"/>
      <c r="G2688" s="46"/>
      <c r="H2688" s="46"/>
      <c r="I2688" s="47"/>
    </row>
    <row r="2689" spans="2:9" ht="19.899999999999999" customHeight="1" x14ac:dyDescent="0.25">
      <c r="B2689" s="23"/>
      <c r="C2689" s="2" t="s">
        <v>964</v>
      </c>
      <c r="D2689" s="45" t="s">
        <v>2089</v>
      </c>
      <c r="E2689" s="46"/>
      <c r="F2689" s="46"/>
      <c r="G2689" s="46"/>
      <c r="H2689" s="46"/>
      <c r="I2689" s="47"/>
    </row>
    <row r="2690" spans="2:9" x14ac:dyDescent="0.25">
      <c r="B2690" s="23"/>
      <c r="I2690" s="26"/>
    </row>
    <row r="2691" spans="2:9" x14ac:dyDescent="0.25">
      <c r="B2691" s="23"/>
      <c r="C2691" s="55" t="s">
        <v>60</v>
      </c>
      <c r="D2691" s="46"/>
      <c r="E2691" s="46"/>
      <c r="F2691" s="46"/>
      <c r="G2691" s="46"/>
      <c r="H2691" s="46"/>
      <c r="I2691" s="47"/>
    </row>
    <row r="2692" spans="2:9" x14ac:dyDescent="0.25">
      <c r="B2692" s="23"/>
      <c r="I2692" s="26"/>
    </row>
    <row r="2693" spans="2:9" ht="63.4" customHeight="1" x14ac:dyDescent="0.25">
      <c r="B2693" s="24" t="s">
        <v>1908</v>
      </c>
      <c r="C2693" s="18" t="s">
        <v>1892</v>
      </c>
      <c r="D2693" s="52" t="s">
        <v>2090</v>
      </c>
      <c r="E2693" s="53"/>
      <c r="F2693" s="53"/>
      <c r="G2693" s="53"/>
      <c r="H2693" s="53"/>
      <c r="I2693" s="54"/>
    </row>
    <row r="2694" spans="2:9" ht="19.899999999999999" customHeight="1" x14ac:dyDescent="0.25">
      <c r="B2694" s="23"/>
      <c r="C2694" s="2" t="s">
        <v>561</v>
      </c>
      <c r="D2694" s="45" t="s">
        <v>2091</v>
      </c>
      <c r="E2694" s="46"/>
      <c r="F2694" s="46"/>
      <c r="G2694" s="46"/>
      <c r="H2694" s="46"/>
      <c r="I2694" s="47"/>
    </row>
    <row r="2695" spans="2:9" ht="34.35" customHeight="1" x14ac:dyDescent="0.25">
      <c r="B2695" s="23"/>
      <c r="C2695" s="2" t="s">
        <v>2092</v>
      </c>
      <c r="D2695" s="45" t="s">
        <v>2093</v>
      </c>
      <c r="E2695" s="46"/>
      <c r="F2695" s="46"/>
      <c r="G2695" s="46"/>
      <c r="H2695" s="46"/>
      <c r="I2695" s="47"/>
    </row>
    <row r="2696" spans="2:9" ht="19.899999999999999" customHeight="1" x14ac:dyDescent="0.25">
      <c r="B2696" s="23"/>
      <c r="C2696" s="2" t="s">
        <v>1912</v>
      </c>
      <c r="D2696" s="45" t="s">
        <v>2094</v>
      </c>
      <c r="E2696" s="46"/>
      <c r="F2696" s="46"/>
      <c r="G2696" s="46"/>
      <c r="H2696" s="46"/>
      <c r="I2696" s="47"/>
    </row>
    <row r="2697" spans="2:9" ht="19.899999999999999" customHeight="1" x14ac:dyDescent="0.25">
      <c r="B2697" s="23"/>
      <c r="C2697" s="2" t="s">
        <v>2016</v>
      </c>
      <c r="D2697" s="45" t="s">
        <v>2095</v>
      </c>
      <c r="E2697" s="46"/>
      <c r="F2697" s="46"/>
      <c r="G2697" s="46"/>
      <c r="H2697" s="46"/>
      <c r="I2697" s="47"/>
    </row>
    <row r="2698" spans="2:9" ht="34.35" customHeight="1" x14ac:dyDescent="0.25">
      <c r="B2698" s="23"/>
      <c r="C2698" s="2" t="s">
        <v>2096</v>
      </c>
      <c r="D2698" s="45" t="s">
        <v>2097</v>
      </c>
      <c r="E2698" s="46"/>
      <c r="F2698" s="46"/>
      <c r="G2698" s="46"/>
      <c r="H2698" s="46"/>
      <c r="I2698" s="47"/>
    </row>
    <row r="2699" spans="2:9" x14ac:dyDescent="0.25">
      <c r="B2699" s="23"/>
      <c r="I2699" s="26"/>
    </row>
    <row r="2700" spans="2:9" x14ac:dyDescent="0.25">
      <c r="B2700" s="23"/>
      <c r="C2700" s="55" t="s">
        <v>60</v>
      </c>
      <c r="D2700" s="46"/>
      <c r="E2700" s="46"/>
      <c r="F2700" s="46"/>
      <c r="G2700" s="46"/>
      <c r="H2700" s="46"/>
      <c r="I2700" s="47"/>
    </row>
    <row r="2701" spans="2:9" x14ac:dyDescent="0.25">
      <c r="B2701" s="23"/>
      <c r="I2701" s="26"/>
    </row>
    <row r="2702" spans="2:9" ht="63.4" customHeight="1" x14ac:dyDescent="0.25">
      <c r="B2702" s="24" t="s">
        <v>1891</v>
      </c>
      <c r="C2702" s="18" t="s">
        <v>1892</v>
      </c>
      <c r="D2702" s="52" t="s">
        <v>2098</v>
      </c>
      <c r="E2702" s="53"/>
      <c r="F2702" s="53"/>
      <c r="G2702" s="53"/>
      <c r="H2702" s="53"/>
      <c r="I2702" s="54"/>
    </row>
    <row r="2703" spans="2:9" ht="19.899999999999999" customHeight="1" x14ac:dyDescent="0.25">
      <c r="B2703" s="23"/>
      <c r="C2703" s="2" t="s">
        <v>561</v>
      </c>
      <c r="D2703" s="45" t="s">
        <v>2099</v>
      </c>
      <c r="E2703" s="46"/>
      <c r="F2703" s="46"/>
      <c r="G2703" s="46"/>
      <c r="H2703" s="46"/>
      <c r="I2703" s="47"/>
    </row>
    <row r="2704" spans="2:9" ht="19.899999999999999" customHeight="1" x14ac:dyDescent="0.25">
      <c r="B2704" s="23"/>
      <c r="C2704" s="2" t="s">
        <v>2100</v>
      </c>
      <c r="D2704" s="45" t="s">
        <v>2101</v>
      </c>
      <c r="E2704" s="46"/>
      <c r="F2704" s="46"/>
      <c r="G2704" s="46"/>
      <c r="H2704" s="46"/>
      <c r="I2704" s="47"/>
    </row>
    <row r="2705" spans="2:10" ht="19.899999999999999" customHeight="1" x14ac:dyDescent="0.25">
      <c r="B2705" s="23"/>
      <c r="C2705" s="2" t="s">
        <v>2102</v>
      </c>
      <c r="D2705" s="45" t="s">
        <v>2103</v>
      </c>
      <c r="E2705" s="46"/>
      <c r="F2705" s="46"/>
      <c r="G2705" s="46"/>
      <c r="H2705" s="46"/>
      <c r="I2705" s="47"/>
    </row>
    <row r="2706" spans="2:10" ht="19.899999999999999" customHeight="1" x14ac:dyDescent="0.25">
      <c r="B2706" s="23"/>
      <c r="C2706" s="2" t="s">
        <v>2104</v>
      </c>
      <c r="D2706" s="45" t="s">
        <v>2105</v>
      </c>
      <c r="E2706" s="46"/>
      <c r="F2706" s="46"/>
      <c r="G2706" s="46"/>
      <c r="H2706" s="46"/>
      <c r="I2706" s="47"/>
    </row>
    <row r="2707" spans="2:10" ht="19.899999999999999" customHeight="1" x14ac:dyDescent="0.25">
      <c r="B2707" s="23"/>
      <c r="C2707" s="2" t="s">
        <v>2106</v>
      </c>
      <c r="D2707" s="45" t="s">
        <v>2107</v>
      </c>
      <c r="E2707" s="46"/>
      <c r="F2707" s="46"/>
      <c r="G2707" s="46"/>
      <c r="H2707" s="46"/>
      <c r="I2707" s="47"/>
    </row>
    <row r="2708" spans="2:10" ht="19.899999999999999" customHeight="1" x14ac:dyDescent="0.25">
      <c r="B2708" s="23"/>
      <c r="C2708" s="2" t="s">
        <v>2108</v>
      </c>
      <c r="D2708" s="45" t="s">
        <v>2109</v>
      </c>
      <c r="E2708" s="46"/>
      <c r="F2708" s="46"/>
      <c r="G2708" s="46"/>
      <c r="H2708" s="46"/>
      <c r="I2708" s="47"/>
    </row>
    <row r="2709" spans="2:10" ht="19.899999999999999" customHeight="1" x14ac:dyDescent="0.25">
      <c r="B2709" s="23"/>
      <c r="C2709" s="2" t="s">
        <v>2110</v>
      </c>
      <c r="D2709" s="45" t="s">
        <v>2111</v>
      </c>
      <c r="E2709" s="46"/>
      <c r="F2709" s="46"/>
      <c r="G2709" s="46"/>
      <c r="H2709" s="46"/>
      <c r="I2709" s="47"/>
    </row>
    <row r="2710" spans="2:10" ht="19.899999999999999" customHeight="1" x14ac:dyDescent="0.25">
      <c r="B2710" s="23"/>
      <c r="C2710" s="2" t="s">
        <v>2112</v>
      </c>
      <c r="D2710" s="45" t="s">
        <v>2113</v>
      </c>
      <c r="E2710" s="46"/>
      <c r="F2710" s="46"/>
      <c r="G2710" s="46"/>
      <c r="H2710" s="46"/>
      <c r="I2710" s="47"/>
    </row>
    <row r="2711" spans="2:10" ht="19.899999999999999" customHeight="1" x14ac:dyDescent="0.25">
      <c r="B2711" s="23"/>
      <c r="C2711" s="2" t="s">
        <v>2114</v>
      </c>
      <c r="D2711" s="45" t="s">
        <v>2115</v>
      </c>
      <c r="E2711" s="46"/>
      <c r="F2711" s="46"/>
      <c r="G2711" s="46"/>
      <c r="H2711" s="46"/>
      <c r="I2711" s="47"/>
    </row>
    <row r="2712" spans="2:10" ht="19.899999999999999" customHeight="1" x14ac:dyDescent="0.25">
      <c r="B2712" s="23"/>
      <c r="C2712" s="2" t="s">
        <v>1897</v>
      </c>
      <c r="D2712" s="45" t="s">
        <v>1898</v>
      </c>
      <c r="E2712" s="46"/>
      <c r="F2712" s="46"/>
      <c r="G2712" s="46"/>
      <c r="H2712" s="46"/>
      <c r="I2712" s="47"/>
    </row>
    <row r="2713" spans="2:10" ht="19.899999999999999" customHeight="1" x14ac:dyDescent="0.25">
      <c r="B2713" s="23"/>
      <c r="C2713" s="2" t="s">
        <v>2116</v>
      </c>
      <c r="D2713" s="45" t="s">
        <v>2117</v>
      </c>
      <c r="E2713" s="46"/>
      <c r="F2713" s="46"/>
      <c r="G2713" s="46"/>
      <c r="H2713" s="46"/>
      <c r="I2713" s="47"/>
    </row>
    <row r="2714" spans="2:10" x14ac:dyDescent="0.25">
      <c r="B2714" s="23"/>
      <c r="I2714" s="26"/>
    </row>
    <row r="2715" spans="2:10" x14ac:dyDescent="0.25">
      <c r="B2715" s="23"/>
      <c r="C2715" s="55" t="s">
        <v>60</v>
      </c>
      <c r="D2715" s="46"/>
      <c r="E2715" s="46"/>
      <c r="F2715" s="46"/>
      <c r="G2715" s="46"/>
      <c r="H2715" s="46"/>
      <c r="I2715" s="47"/>
    </row>
    <row r="2716" spans="2:10" x14ac:dyDescent="0.25">
      <c r="B2716" s="25"/>
      <c r="C2716" s="21"/>
      <c r="D2716" s="21"/>
      <c r="E2716" s="21"/>
      <c r="F2716" s="21"/>
      <c r="G2716" s="21"/>
      <c r="H2716" s="21"/>
      <c r="I2716" s="27"/>
    </row>
    <row r="2718" spans="2:10" x14ac:dyDescent="0.25">
      <c r="B2718" s="3" t="s">
        <v>82</v>
      </c>
    </row>
    <row r="2719" spans="2:10" ht="19.899999999999999" customHeight="1" x14ac:dyDescent="0.25">
      <c r="B2719" s="29" t="s">
        <v>2118</v>
      </c>
      <c r="C2719" s="42" t="s">
        <v>2119</v>
      </c>
      <c r="D2719" s="43"/>
      <c r="E2719" s="43"/>
      <c r="F2719" s="43"/>
      <c r="G2719" s="43"/>
      <c r="H2719" s="43"/>
      <c r="I2719" s="44"/>
      <c r="J2719" s="17" t="str">
        <f>HYPERLINK("#'Ändringshistorik'!C77", "Ändringshistorik: [308]")</f>
        <v>Ändringshistorik: [308]</v>
      </c>
    </row>
    <row r="2720" spans="2:10" ht="19.899999999999999" customHeight="1" x14ac:dyDescent="0.25">
      <c r="B2720" s="30" t="s">
        <v>2120</v>
      </c>
      <c r="C2720" s="52" t="s">
        <v>2121</v>
      </c>
      <c r="D2720" s="53"/>
      <c r="E2720" s="46"/>
      <c r="F2720" s="46"/>
      <c r="G2720" s="46"/>
      <c r="H2720" s="46"/>
      <c r="I2720" s="47"/>
      <c r="J2720" s="17" t="str">
        <f>HYPERLINK("#'Ändringshistorik'!C78", "Ändringshistorik: [309]")</f>
        <v>Ändringshistorik: [309]</v>
      </c>
    </row>
    <row r="2721" spans="2:10" ht="19.899999999999999" customHeight="1" x14ac:dyDescent="0.25">
      <c r="B2721" s="30" t="s">
        <v>2122</v>
      </c>
      <c r="C2721" s="52" t="s">
        <v>2123</v>
      </c>
      <c r="D2721" s="53"/>
      <c r="E2721" s="46"/>
      <c r="F2721" s="46"/>
      <c r="G2721" s="46"/>
      <c r="H2721" s="46"/>
      <c r="I2721" s="47"/>
      <c r="J2721" s="17" t="str">
        <f>HYPERLINK("#'Ändringshistorik'!C79", "Ändringshistorik: [310]")</f>
        <v>Ändringshistorik: [310]</v>
      </c>
    </row>
    <row r="2722" spans="2:10" ht="19.899999999999999" customHeight="1" x14ac:dyDescent="0.25">
      <c r="B2722" s="30" t="s">
        <v>2124</v>
      </c>
      <c r="C2722" s="52" t="s">
        <v>2125</v>
      </c>
      <c r="D2722" s="53"/>
      <c r="E2722" s="46"/>
      <c r="F2722" s="46"/>
      <c r="G2722" s="46"/>
      <c r="H2722" s="46"/>
      <c r="I2722" s="47"/>
      <c r="J2722" s="17" t="str">
        <f>HYPERLINK("#'Ändringshistorik'!C80", "Ändringshistorik: [311]")</f>
        <v>Ändringshistorik: [311]</v>
      </c>
    </row>
    <row r="2723" spans="2:10" ht="19.899999999999999" customHeight="1" x14ac:dyDescent="0.25">
      <c r="B2723" s="30" t="s">
        <v>2126</v>
      </c>
      <c r="C2723" s="52" t="s">
        <v>2127</v>
      </c>
      <c r="D2723" s="53"/>
      <c r="E2723" s="46"/>
      <c r="F2723" s="46"/>
      <c r="G2723" s="46"/>
      <c r="H2723" s="46"/>
      <c r="I2723" s="47"/>
      <c r="J2723" s="17" t="str">
        <f>HYPERLINK("#'Ändringshistorik'!C82", "Ändringshistorik: [313]")</f>
        <v>Ändringshistorik: [313]</v>
      </c>
    </row>
    <row r="2724" spans="2:10" ht="19.899999999999999" customHeight="1" x14ac:dyDescent="0.25">
      <c r="B2724" s="30" t="s">
        <v>2128</v>
      </c>
      <c r="C2724" s="52" t="s">
        <v>2129</v>
      </c>
      <c r="D2724" s="53"/>
      <c r="E2724" s="46"/>
      <c r="F2724" s="46"/>
      <c r="G2724" s="46"/>
      <c r="H2724" s="46"/>
      <c r="I2724" s="47"/>
    </row>
    <row r="2725" spans="2:10" ht="19.899999999999999" customHeight="1" x14ac:dyDescent="0.25">
      <c r="B2725" s="30" t="s">
        <v>2130</v>
      </c>
      <c r="C2725" s="52" t="s">
        <v>2131</v>
      </c>
      <c r="D2725" s="53"/>
      <c r="E2725" s="46"/>
      <c r="F2725" s="46"/>
      <c r="G2725" s="46"/>
      <c r="H2725" s="46"/>
      <c r="I2725" s="47"/>
    </row>
    <row r="2726" spans="2:10" ht="19.899999999999999" customHeight="1" x14ac:dyDescent="0.25">
      <c r="B2726" s="30" t="s">
        <v>2132</v>
      </c>
      <c r="C2726" s="52" t="s">
        <v>2133</v>
      </c>
      <c r="D2726" s="53"/>
      <c r="E2726" s="46"/>
      <c r="F2726" s="46"/>
      <c r="G2726" s="46"/>
      <c r="H2726" s="46"/>
      <c r="I2726" s="47"/>
    </row>
    <row r="2727" spans="2:10" ht="19.899999999999999" customHeight="1" x14ac:dyDescent="0.25">
      <c r="B2727" s="30" t="s">
        <v>2134</v>
      </c>
      <c r="C2727" s="52" t="s">
        <v>2135</v>
      </c>
      <c r="D2727" s="53"/>
      <c r="E2727" s="46"/>
      <c r="F2727" s="46"/>
      <c r="G2727" s="46"/>
      <c r="H2727" s="46"/>
      <c r="I2727" s="47"/>
    </row>
    <row r="2728" spans="2:10" ht="19.899999999999999" customHeight="1" x14ac:dyDescent="0.25">
      <c r="B2728" s="30" t="s">
        <v>2136</v>
      </c>
      <c r="C2728" s="52" t="s">
        <v>2137</v>
      </c>
      <c r="D2728" s="53"/>
      <c r="E2728" s="46"/>
      <c r="F2728" s="46"/>
      <c r="G2728" s="46"/>
      <c r="H2728" s="46"/>
      <c r="I2728" s="47"/>
    </row>
    <row r="2729" spans="2:10" ht="19.899999999999999" customHeight="1" x14ac:dyDescent="0.25">
      <c r="B2729" s="30" t="s">
        <v>2138</v>
      </c>
      <c r="C2729" s="52" t="s">
        <v>2139</v>
      </c>
      <c r="D2729" s="53"/>
      <c r="E2729" s="46"/>
      <c r="F2729" s="46"/>
      <c r="G2729" s="46"/>
      <c r="H2729" s="46"/>
      <c r="I2729" s="47"/>
    </row>
    <row r="2730" spans="2:10" ht="19.899999999999999" customHeight="1" x14ac:dyDescent="0.25">
      <c r="B2730" s="30" t="s">
        <v>2140</v>
      </c>
      <c r="C2730" s="52" t="s">
        <v>2141</v>
      </c>
      <c r="D2730" s="53"/>
      <c r="E2730" s="46"/>
      <c r="F2730" s="46"/>
      <c r="G2730" s="46"/>
      <c r="H2730" s="46"/>
      <c r="I2730" s="47"/>
    </row>
    <row r="2731" spans="2:10" ht="19.899999999999999" customHeight="1" x14ac:dyDescent="0.25">
      <c r="B2731" s="30" t="s">
        <v>2142</v>
      </c>
      <c r="C2731" s="52" t="s">
        <v>2143</v>
      </c>
      <c r="D2731" s="53"/>
      <c r="E2731" s="46"/>
      <c r="F2731" s="46"/>
      <c r="G2731" s="46"/>
      <c r="H2731" s="46"/>
      <c r="I2731" s="47"/>
    </row>
    <row r="2732" spans="2:10" ht="19.899999999999999" customHeight="1" x14ac:dyDescent="0.25">
      <c r="B2732" s="30" t="s">
        <v>2144</v>
      </c>
      <c r="C2732" s="52" t="s">
        <v>2145</v>
      </c>
      <c r="D2732" s="53"/>
      <c r="E2732" s="46"/>
      <c r="F2732" s="46"/>
      <c r="G2732" s="46"/>
      <c r="H2732" s="46"/>
      <c r="I2732" s="47"/>
    </row>
    <row r="2733" spans="2:10" ht="19.899999999999999" customHeight="1" x14ac:dyDescent="0.25">
      <c r="B2733" s="30" t="s">
        <v>2146</v>
      </c>
      <c r="C2733" s="52" t="s">
        <v>2147</v>
      </c>
      <c r="D2733" s="53"/>
      <c r="E2733" s="46"/>
      <c r="F2733" s="46"/>
      <c r="G2733" s="46"/>
      <c r="H2733" s="46"/>
      <c r="I2733" s="47"/>
    </row>
    <row r="2734" spans="2:10" ht="19.899999999999999" customHeight="1" x14ac:dyDescent="0.25">
      <c r="B2734" s="30" t="s">
        <v>2148</v>
      </c>
      <c r="C2734" s="52" t="s">
        <v>2149</v>
      </c>
      <c r="D2734" s="53"/>
      <c r="E2734" s="46"/>
      <c r="F2734" s="46"/>
      <c r="G2734" s="46"/>
      <c r="H2734" s="46"/>
      <c r="I2734" s="47"/>
    </row>
    <row r="2735" spans="2:10" ht="19.899999999999999" customHeight="1" x14ac:dyDescent="0.25">
      <c r="B2735" s="30" t="s">
        <v>2150</v>
      </c>
      <c r="C2735" s="52" t="s">
        <v>2151</v>
      </c>
      <c r="D2735" s="53"/>
      <c r="E2735" s="46"/>
      <c r="F2735" s="46"/>
      <c r="G2735" s="46"/>
      <c r="H2735" s="46"/>
      <c r="I2735" s="47"/>
    </row>
    <row r="2736" spans="2:10" ht="19.899999999999999" customHeight="1" x14ac:dyDescent="0.25">
      <c r="B2736" s="30" t="s">
        <v>2152</v>
      </c>
      <c r="C2736" s="52" t="s">
        <v>2153</v>
      </c>
      <c r="D2736" s="53"/>
      <c r="E2736" s="46"/>
      <c r="F2736" s="46"/>
      <c r="G2736" s="46"/>
      <c r="H2736" s="46"/>
      <c r="I2736" s="47"/>
    </row>
    <row r="2737" spans="1:9" ht="34.35" customHeight="1" x14ac:dyDescent="0.25">
      <c r="B2737" s="30" t="s">
        <v>2154</v>
      </c>
      <c r="C2737" s="52" t="s">
        <v>2155</v>
      </c>
      <c r="D2737" s="53"/>
      <c r="E2737" s="46"/>
      <c r="F2737" s="46"/>
      <c r="G2737" s="46"/>
      <c r="H2737" s="46"/>
      <c r="I2737" s="47"/>
    </row>
    <row r="2738" spans="1:9" ht="34.35" customHeight="1" x14ac:dyDescent="0.25">
      <c r="B2738" s="31" t="s">
        <v>2156</v>
      </c>
      <c r="C2738" s="59" t="s">
        <v>2155</v>
      </c>
      <c r="D2738" s="60"/>
      <c r="E2738" s="49"/>
      <c r="F2738" s="49"/>
      <c r="G2738" s="49"/>
      <c r="H2738" s="49"/>
      <c r="I2738" s="50"/>
    </row>
    <row r="2742" spans="1:9" ht="92.25" customHeight="1" x14ac:dyDescent="0.25">
      <c r="A2742" s="45" t="s">
        <v>31</v>
      </c>
      <c r="B2742" s="46"/>
      <c r="C2742" s="46"/>
      <c r="D2742" s="46"/>
      <c r="E2742" s="46"/>
      <c r="F2742" s="46"/>
      <c r="G2742" s="46"/>
      <c r="H2742" s="46"/>
      <c r="I2742" s="46"/>
    </row>
    <row r="2743" spans="1:9" ht="18.75" x14ac:dyDescent="0.25">
      <c r="A2743" s="16" t="s">
        <v>2157</v>
      </c>
      <c r="B2743" s="3" t="s">
        <v>47</v>
      </c>
    </row>
    <row r="2744" spans="1:9" ht="63.4" customHeight="1" x14ac:dyDescent="0.25">
      <c r="B2744" s="22" t="s">
        <v>2158</v>
      </c>
      <c r="C2744" s="32" t="s">
        <v>220</v>
      </c>
      <c r="D2744" s="42" t="s">
        <v>2159</v>
      </c>
      <c r="E2744" s="43"/>
      <c r="F2744" s="43"/>
      <c r="G2744" s="43"/>
      <c r="H2744" s="43"/>
      <c r="I2744" s="44"/>
    </row>
    <row r="2745" spans="1:9" x14ac:dyDescent="0.25">
      <c r="B2745" s="23"/>
      <c r="C2745" s="2" t="s">
        <v>222</v>
      </c>
      <c r="I2745" s="26"/>
    </row>
    <row r="2746" spans="1:9" x14ac:dyDescent="0.25">
      <c r="B2746" s="23"/>
      <c r="I2746" s="26"/>
    </row>
    <row r="2747" spans="1:9" x14ac:dyDescent="0.25">
      <c r="B2747" s="23"/>
      <c r="C2747" s="51" t="s">
        <v>55</v>
      </c>
      <c r="D2747" s="46"/>
      <c r="E2747" s="46"/>
      <c r="F2747" s="46"/>
      <c r="G2747" s="46"/>
      <c r="H2747" s="46"/>
      <c r="I2747" s="47"/>
    </row>
    <row r="2748" spans="1:9" x14ac:dyDescent="0.25">
      <c r="B2748" s="23"/>
      <c r="I2748" s="26"/>
    </row>
    <row r="2749" spans="1:9" ht="19.899999999999999" customHeight="1" x14ac:dyDescent="0.25">
      <c r="B2749" s="24" t="s">
        <v>2160</v>
      </c>
      <c r="C2749" s="18" t="s">
        <v>49</v>
      </c>
      <c r="D2749" s="52" t="s">
        <v>2161</v>
      </c>
      <c r="E2749" s="53"/>
      <c r="F2749" s="53"/>
      <c r="G2749" s="53"/>
      <c r="H2749" s="53"/>
      <c r="I2749" s="54"/>
    </row>
    <row r="2750" spans="1:9" ht="19.899999999999999" customHeight="1" x14ac:dyDescent="0.25">
      <c r="B2750" s="23"/>
      <c r="C2750" s="2" t="s">
        <v>470</v>
      </c>
      <c r="D2750" s="45" t="s">
        <v>2162</v>
      </c>
      <c r="E2750" s="46"/>
      <c r="F2750" s="46"/>
      <c r="G2750" s="46"/>
      <c r="H2750" s="46"/>
      <c r="I2750" s="47"/>
    </row>
    <row r="2751" spans="1:9" ht="19.899999999999999" customHeight="1" x14ac:dyDescent="0.25">
      <c r="B2751" s="23"/>
      <c r="C2751" s="2" t="s">
        <v>573</v>
      </c>
      <c r="D2751" s="45" t="s">
        <v>2163</v>
      </c>
      <c r="E2751" s="46"/>
      <c r="F2751" s="46"/>
      <c r="G2751" s="46"/>
      <c r="H2751" s="46"/>
      <c r="I2751" s="47"/>
    </row>
    <row r="2752" spans="1:9" ht="19.899999999999999" customHeight="1" x14ac:dyDescent="0.25">
      <c r="B2752" s="23"/>
      <c r="C2752" s="2" t="s">
        <v>2164</v>
      </c>
      <c r="D2752" s="45" t="s">
        <v>2165</v>
      </c>
      <c r="E2752" s="46"/>
      <c r="F2752" s="46"/>
      <c r="G2752" s="46"/>
      <c r="H2752" s="46"/>
      <c r="I2752" s="47"/>
    </row>
    <row r="2753" spans="2:9" ht="19.899999999999999" customHeight="1" x14ac:dyDescent="0.25">
      <c r="B2753" s="23"/>
      <c r="C2753" s="2" t="s">
        <v>2166</v>
      </c>
      <c r="D2753" s="45" t="s">
        <v>2167</v>
      </c>
      <c r="E2753" s="46"/>
      <c r="F2753" s="46"/>
      <c r="G2753" s="46"/>
      <c r="H2753" s="46"/>
      <c r="I2753" s="47"/>
    </row>
    <row r="2754" spans="2:9" ht="19.899999999999999" customHeight="1" x14ac:dyDescent="0.25">
      <c r="B2754" s="23"/>
      <c r="C2754" s="2" t="s">
        <v>2168</v>
      </c>
      <c r="D2754" s="45" t="s">
        <v>2169</v>
      </c>
      <c r="E2754" s="46"/>
      <c r="F2754" s="46"/>
      <c r="G2754" s="46"/>
      <c r="H2754" s="46"/>
      <c r="I2754" s="47"/>
    </row>
    <row r="2755" spans="2:9" ht="19.899999999999999" customHeight="1" x14ac:dyDescent="0.25">
      <c r="B2755" s="23"/>
      <c r="C2755" s="2" t="s">
        <v>2170</v>
      </c>
      <c r="D2755" s="45" t="s">
        <v>2171</v>
      </c>
      <c r="E2755" s="46"/>
      <c r="F2755" s="46"/>
      <c r="G2755" s="46"/>
      <c r="H2755" s="46"/>
      <c r="I2755" s="47"/>
    </row>
    <row r="2756" spans="2:9" x14ac:dyDescent="0.25">
      <c r="B2756" s="23"/>
      <c r="I2756" s="26"/>
    </row>
    <row r="2757" spans="2:9" x14ac:dyDescent="0.25">
      <c r="B2757" s="23"/>
      <c r="C2757" s="55" t="s">
        <v>60</v>
      </c>
      <c r="D2757" s="46"/>
      <c r="E2757" s="46"/>
      <c r="F2757" s="46"/>
      <c r="G2757" s="46"/>
      <c r="H2757" s="46"/>
      <c r="I2757" s="47"/>
    </row>
    <row r="2758" spans="2:9" x14ac:dyDescent="0.25">
      <c r="B2758" s="23"/>
      <c r="C2758" s="67" t="str">
        <f>HYPERLINK("#'Json-dokumentation'!B2853", "Fotnot: (*)")</f>
        <v>Fotnot: (*)</v>
      </c>
      <c r="D2758" s="46"/>
      <c r="E2758" s="46"/>
      <c r="F2758" s="46"/>
      <c r="G2758" s="46"/>
      <c r="H2758" s="46"/>
      <c r="I2758" s="47"/>
    </row>
    <row r="2759" spans="2:9" x14ac:dyDescent="0.25">
      <c r="B2759" s="23"/>
      <c r="I2759" s="26"/>
    </row>
    <row r="2760" spans="2:9" ht="19.899999999999999" customHeight="1" x14ac:dyDescent="0.25">
      <c r="B2760" s="24" t="s">
        <v>2172</v>
      </c>
      <c r="C2760" s="18" t="s">
        <v>49</v>
      </c>
      <c r="D2760" s="52" t="s">
        <v>2173</v>
      </c>
      <c r="E2760" s="53"/>
      <c r="F2760" s="53"/>
      <c r="G2760" s="53"/>
      <c r="H2760" s="53"/>
      <c r="I2760" s="54"/>
    </row>
    <row r="2761" spans="2:9" ht="19.899999999999999" customHeight="1" x14ac:dyDescent="0.25">
      <c r="B2761" s="23"/>
      <c r="C2761" s="2" t="s">
        <v>470</v>
      </c>
      <c r="D2761" s="45" t="s">
        <v>2174</v>
      </c>
      <c r="E2761" s="46"/>
      <c r="F2761" s="46"/>
      <c r="G2761" s="46"/>
      <c r="H2761" s="46"/>
      <c r="I2761" s="47"/>
    </row>
    <row r="2762" spans="2:9" ht="19.899999999999999" customHeight="1" x14ac:dyDescent="0.25">
      <c r="B2762" s="23"/>
      <c r="C2762" s="2" t="s">
        <v>573</v>
      </c>
      <c r="D2762" s="45" t="s">
        <v>2175</v>
      </c>
      <c r="E2762" s="46"/>
      <c r="F2762" s="46"/>
      <c r="G2762" s="46"/>
      <c r="H2762" s="46"/>
      <c r="I2762" s="47"/>
    </row>
    <row r="2763" spans="2:9" ht="19.899999999999999" customHeight="1" x14ac:dyDescent="0.25">
      <c r="B2763" s="23"/>
      <c r="C2763" s="2" t="s">
        <v>2176</v>
      </c>
      <c r="D2763" s="45" t="s">
        <v>2177</v>
      </c>
      <c r="E2763" s="46"/>
      <c r="F2763" s="46"/>
      <c r="G2763" s="46"/>
      <c r="H2763" s="46"/>
      <c r="I2763" s="47"/>
    </row>
    <row r="2764" spans="2:9" ht="63.4" customHeight="1" x14ac:dyDescent="0.25">
      <c r="B2764" s="23"/>
      <c r="C2764" s="2" t="s">
        <v>2178</v>
      </c>
      <c r="D2764" s="45" t="s">
        <v>2179</v>
      </c>
      <c r="E2764" s="46"/>
      <c r="F2764" s="46"/>
      <c r="G2764" s="46"/>
      <c r="H2764" s="46"/>
      <c r="I2764" s="47"/>
    </row>
    <row r="2765" spans="2:9" ht="19.899999999999999" customHeight="1" x14ac:dyDescent="0.25">
      <c r="B2765" s="23"/>
      <c r="C2765" s="2" t="s">
        <v>2180</v>
      </c>
      <c r="D2765" s="45" t="s">
        <v>2181</v>
      </c>
      <c r="E2765" s="46"/>
      <c r="F2765" s="46"/>
      <c r="G2765" s="46"/>
      <c r="H2765" s="46"/>
      <c r="I2765" s="47"/>
    </row>
    <row r="2766" spans="2:9" ht="19.899999999999999" customHeight="1" x14ac:dyDescent="0.25">
      <c r="B2766" s="23"/>
      <c r="C2766" s="2" t="s">
        <v>2182</v>
      </c>
      <c r="D2766" s="45" t="s">
        <v>2183</v>
      </c>
      <c r="E2766" s="46"/>
      <c r="F2766" s="46"/>
      <c r="G2766" s="46"/>
      <c r="H2766" s="46"/>
      <c r="I2766" s="47"/>
    </row>
    <row r="2767" spans="2:9" ht="19.899999999999999" customHeight="1" x14ac:dyDescent="0.25">
      <c r="B2767" s="23"/>
      <c r="C2767" s="2" t="s">
        <v>2184</v>
      </c>
      <c r="D2767" s="45" t="s">
        <v>2185</v>
      </c>
      <c r="E2767" s="46"/>
      <c r="F2767" s="46"/>
      <c r="G2767" s="46"/>
      <c r="H2767" s="46"/>
      <c r="I2767" s="47"/>
    </row>
    <row r="2768" spans="2:9" ht="19.899999999999999" customHeight="1" x14ac:dyDescent="0.25">
      <c r="B2768" s="23"/>
      <c r="C2768" s="2" t="s">
        <v>2186</v>
      </c>
      <c r="D2768" s="45" t="s">
        <v>2187</v>
      </c>
      <c r="E2768" s="46"/>
      <c r="F2768" s="46"/>
      <c r="G2768" s="46"/>
      <c r="H2768" s="46"/>
      <c r="I2768" s="47"/>
    </row>
    <row r="2769" spans="2:9" ht="19.899999999999999" customHeight="1" x14ac:dyDescent="0.25">
      <c r="B2769" s="23"/>
      <c r="C2769" s="2" t="s">
        <v>2188</v>
      </c>
      <c r="D2769" s="45" t="s">
        <v>2189</v>
      </c>
      <c r="E2769" s="46"/>
      <c r="F2769" s="46"/>
      <c r="G2769" s="46"/>
      <c r="H2769" s="46"/>
      <c r="I2769" s="47"/>
    </row>
    <row r="2770" spans="2:9" ht="19.899999999999999" customHeight="1" x14ac:dyDescent="0.25">
      <c r="B2770" s="23"/>
      <c r="C2770" s="2" t="s">
        <v>2190</v>
      </c>
      <c r="D2770" s="45" t="s">
        <v>2191</v>
      </c>
      <c r="E2770" s="46"/>
      <c r="F2770" s="46"/>
      <c r="G2770" s="46"/>
      <c r="H2770" s="46"/>
      <c r="I2770" s="47"/>
    </row>
    <row r="2771" spans="2:9" ht="19.899999999999999" customHeight="1" x14ac:dyDescent="0.25">
      <c r="B2771" s="23"/>
      <c r="C2771" s="2" t="s">
        <v>2192</v>
      </c>
      <c r="D2771" s="45" t="s">
        <v>2193</v>
      </c>
      <c r="E2771" s="46"/>
      <c r="F2771" s="46"/>
      <c r="G2771" s="46"/>
      <c r="H2771" s="46"/>
      <c r="I2771" s="47"/>
    </row>
    <row r="2772" spans="2:9" ht="19.899999999999999" customHeight="1" x14ac:dyDescent="0.25">
      <c r="B2772" s="23"/>
      <c r="C2772" s="2" t="s">
        <v>2194</v>
      </c>
      <c r="D2772" s="45" t="s">
        <v>2195</v>
      </c>
      <c r="E2772" s="46"/>
      <c r="F2772" s="46"/>
      <c r="G2772" s="46"/>
      <c r="H2772" s="46"/>
      <c r="I2772" s="47"/>
    </row>
    <row r="2773" spans="2:9" ht="19.899999999999999" customHeight="1" x14ac:dyDescent="0.25">
      <c r="B2773" s="23"/>
      <c r="C2773" s="2" t="s">
        <v>2196</v>
      </c>
      <c r="D2773" s="45" t="s">
        <v>2197</v>
      </c>
      <c r="E2773" s="46"/>
      <c r="F2773" s="46"/>
      <c r="G2773" s="46"/>
      <c r="H2773" s="46"/>
      <c r="I2773" s="47"/>
    </row>
    <row r="2774" spans="2:9" ht="19.899999999999999" customHeight="1" x14ac:dyDescent="0.25">
      <c r="B2774" s="23"/>
      <c r="C2774" s="2" t="s">
        <v>2198</v>
      </c>
      <c r="D2774" s="45" t="s">
        <v>2199</v>
      </c>
      <c r="E2774" s="46"/>
      <c r="F2774" s="46"/>
      <c r="G2774" s="46"/>
      <c r="H2774" s="46"/>
      <c r="I2774" s="47"/>
    </row>
    <row r="2775" spans="2:9" ht="19.899999999999999" customHeight="1" x14ac:dyDescent="0.25">
      <c r="B2775" s="23"/>
      <c r="C2775" s="2" t="s">
        <v>2200</v>
      </c>
      <c r="D2775" s="45" t="s">
        <v>2201</v>
      </c>
      <c r="E2775" s="46"/>
      <c r="F2775" s="46"/>
      <c r="G2775" s="46"/>
      <c r="H2775" s="46"/>
      <c r="I2775" s="47"/>
    </row>
    <row r="2776" spans="2:9" x14ac:dyDescent="0.25">
      <c r="B2776" s="23"/>
      <c r="I2776" s="26"/>
    </row>
    <row r="2777" spans="2:9" x14ac:dyDescent="0.25">
      <c r="B2777" s="23"/>
      <c r="C2777" s="55" t="s">
        <v>60</v>
      </c>
      <c r="D2777" s="46"/>
      <c r="E2777" s="46"/>
      <c r="F2777" s="46"/>
      <c r="G2777" s="46"/>
      <c r="H2777" s="46"/>
      <c r="I2777" s="47"/>
    </row>
    <row r="2778" spans="2:9" x14ac:dyDescent="0.25">
      <c r="B2778" s="23"/>
      <c r="C2778" s="67" t="str">
        <f>HYPERLINK("#'Json-dokumentation'!B2853", "Fotnot: (*)")</f>
        <v>Fotnot: (*)</v>
      </c>
      <c r="D2778" s="46"/>
      <c r="E2778" s="46"/>
      <c r="F2778" s="46"/>
      <c r="G2778" s="46"/>
      <c r="H2778" s="46"/>
      <c r="I2778" s="47"/>
    </row>
    <row r="2779" spans="2:9" x14ac:dyDescent="0.25">
      <c r="B2779" s="23"/>
      <c r="I2779" s="26"/>
    </row>
    <row r="2780" spans="2:9" ht="19.899999999999999" customHeight="1" x14ac:dyDescent="0.25">
      <c r="B2780" s="24" t="s">
        <v>2202</v>
      </c>
      <c r="C2780" s="18" t="s">
        <v>49</v>
      </c>
      <c r="D2780" s="52" t="s">
        <v>2203</v>
      </c>
      <c r="E2780" s="53"/>
      <c r="F2780" s="53"/>
      <c r="G2780" s="53"/>
      <c r="H2780" s="53"/>
      <c r="I2780" s="54"/>
    </row>
    <row r="2781" spans="2:9" ht="19.899999999999999" customHeight="1" x14ac:dyDescent="0.25">
      <c r="B2781" s="23"/>
      <c r="C2781" s="2" t="s">
        <v>470</v>
      </c>
      <c r="D2781" s="45" t="s">
        <v>2204</v>
      </c>
      <c r="E2781" s="46"/>
      <c r="F2781" s="46"/>
      <c r="G2781" s="46"/>
      <c r="H2781" s="46"/>
      <c r="I2781" s="47"/>
    </row>
    <row r="2782" spans="2:9" ht="19.899999999999999" customHeight="1" x14ac:dyDescent="0.25">
      <c r="B2782" s="23"/>
      <c r="C2782" s="2" t="s">
        <v>573</v>
      </c>
      <c r="D2782" s="45" t="s">
        <v>2205</v>
      </c>
      <c r="E2782" s="46"/>
      <c r="F2782" s="46"/>
      <c r="G2782" s="46"/>
      <c r="H2782" s="46"/>
      <c r="I2782" s="47"/>
    </row>
    <row r="2783" spans="2:9" ht="19.899999999999999" customHeight="1" x14ac:dyDescent="0.25">
      <c r="B2783" s="23"/>
      <c r="C2783" s="2" t="s">
        <v>2206</v>
      </c>
      <c r="D2783" s="45" t="s">
        <v>2207</v>
      </c>
      <c r="E2783" s="46"/>
      <c r="F2783" s="46"/>
      <c r="G2783" s="46"/>
      <c r="H2783" s="46"/>
      <c r="I2783" s="47"/>
    </row>
    <row r="2784" spans="2:9" ht="19.899999999999999" customHeight="1" x14ac:dyDescent="0.25">
      <c r="B2784" s="23"/>
      <c r="C2784" s="2" t="s">
        <v>2208</v>
      </c>
      <c r="D2784" s="45" t="s">
        <v>2209</v>
      </c>
      <c r="E2784" s="46"/>
      <c r="F2784" s="46"/>
      <c r="G2784" s="46"/>
      <c r="H2784" s="46"/>
      <c r="I2784" s="47"/>
    </row>
    <row r="2785" spans="2:9" ht="19.899999999999999" customHeight="1" x14ac:dyDescent="0.25">
      <c r="B2785" s="23"/>
      <c r="C2785" s="2" t="s">
        <v>2210</v>
      </c>
      <c r="D2785" s="45" t="s">
        <v>2211</v>
      </c>
      <c r="E2785" s="46"/>
      <c r="F2785" s="46"/>
      <c r="G2785" s="46"/>
      <c r="H2785" s="46"/>
      <c r="I2785" s="47"/>
    </row>
    <row r="2786" spans="2:9" x14ac:dyDescent="0.25">
      <c r="B2786" s="23"/>
      <c r="I2786" s="26"/>
    </row>
    <row r="2787" spans="2:9" x14ac:dyDescent="0.25">
      <c r="B2787" s="23"/>
      <c r="C2787" s="55" t="s">
        <v>60</v>
      </c>
      <c r="D2787" s="46"/>
      <c r="E2787" s="46"/>
      <c r="F2787" s="46"/>
      <c r="G2787" s="46"/>
      <c r="H2787" s="46"/>
      <c r="I2787" s="47"/>
    </row>
    <row r="2788" spans="2:9" x14ac:dyDescent="0.25">
      <c r="B2788" s="23"/>
      <c r="C2788" s="67" t="str">
        <f>HYPERLINK("#'Json-dokumentation'!B2853", "Fotnot: (*)")</f>
        <v>Fotnot: (*)</v>
      </c>
      <c r="D2788" s="46"/>
      <c r="E2788" s="46"/>
      <c r="F2788" s="46"/>
      <c r="G2788" s="46"/>
      <c r="H2788" s="46"/>
      <c r="I2788" s="47"/>
    </row>
    <row r="2789" spans="2:9" x14ac:dyDescent="0.25">
      <c r="B2789" s="23"/>
      <c r="I2789" s="26"/>
    </row>
    <row r="2790" spans="2:9" ht="19.899999999999999" customHeight="1" x14ac:dyDescent="0.25">
      <c r="B2790" s="24" t="s">
        <v>2212</v>
      </c>
      <c r="C2790" s="18" t="s">
        <v>49</v>
      </c>
      <c r="D2790" s="52" t="s">
        <v>2213</v>
      </c>
      <c r="E2790" s="53"/>
      <c r="F2790" s="53"/>
      <c r="G2790" s="53"/>
      <c r="H2790" s="53"/>
      <c r="I2790" s="54"/>
    </row>
    <row r="2791" spans="2:9" ht="19.899999999999999" customHeight="1" x14ac:dyDescent="0.25">
      <c r="B2791" s="23"/>
      <c r="C2791" s="2" t="s">
        <v>470</v>
      </c>
      <c r="D2791" s="45" t="s">
        <v>2214</v>
      </c>
      <c r="E2791" s="46"/>
      <c r="F2791" s="46"/>
      <c r="G2791" s="46"/>
      <c r="H2791" s="46"/>
      <c r="I2791" s="47"/>
    </row>
    <row r="2792" spans="2:9" ht="19.899999999999999" customHeight="1" x14ac:dyDescent="0.25">
      <c r="B2792" s="23"/>
      <c r="C2792" s="2" t="s">
        <v>573</v>
      </c>
      <c r="D2792" s="45" t="s">
        <v>2215</v>
      </c>
      <c r="E2792" s="46"/>
      <c r="F2792" s="46"/>
      <c r="G2792" s="46"/>
      <c r="H2792" s="46"/>
      <c r="I2792" s="47"/>
    </row>
    <row r="2793" spans="2:9" ht="19.899999999999999" customHeight="1" x14ac:dyDescent="0.25">
      <c r="B2793" s="23"/>
      <c r="C2793" s="2" t="s">
        <v>2216</v>
      </c>
      <c r="D2793" s="45" t="s">
        <v>2217</v>
      </c>
      <c r="E2793" s="46"/>
      <c r="F2793" s="46"/>
      <c r="G2793" s="46"/>
      <c r="H2793" s="46"/>
      <c r="I2793" s="47"/>
    </row>
    <row r="2794" spans="2:9" ht="19.899999999999999" customHeight="1" x14ac:dyDescent="0.25">
      <c r="B2794" s="23"/>
      <c r="C2794" s="2" t="s">
        <v>2218</v>
      </c>
      <c r="D2794" s="45" t="s">
        <v>2219</v>
      </c>
      <c r="E2794" s="46"/>
      <c r="F2794" s="46"/>
      <c r="G2794" s="46"/>
      <c r="H2794" s="46"/>
      <c r="I2794" s="47"/>
    </row>
    <row r="2795" spans="2:9" x14ac:dyDescent="0.25">
      <c r="B2795" s="23"/>
      <c r="I2795" s="26"/>
    </row>
    <row r="2796" spans="2:9" x14ac:dyDescent="0.25">
      <c r="B2796" s="23"/>
      <c r="C2796" s="55" t="s">
        <v>60</v>
      </c>
      <c r="D2796" s="46"/>
      <c r="E2796" s="46"/>
      <c r="F2796" s="46"/>
      <c r="G2796" s="46"/>
      <c r="H2796" s="46"/>
      <c r="I2796" s="47"/>
    </row>
    <row r="2797" spans="2:9" x14ac:dyDescent="0.25">
      <c r="B2797" s="23"/>
      <c r="C2797" s="67" t="str">
        <f>HYPERLINK("#'Json-dokumentation'!B2853", "Fotnot: (*)")</f>
        <v>Fotnot: (*)</v>
      </c>
      <c r="D2797" s="46"/>
      <c r="E2797" s="46"/>
      <c r="F2797" s="46"/>
      <c r="G2797" s="46"/>
      <c r="H2797" s="46"/>
      <c r="I2797" s="47"/>
    </row>
    <row r="2798" spans="2:9" x14ac:dyDescent="0.25">
      <c r="B2798" s="23"/>
      <c r="I2798" s="26"/>
    </row>
    <row r="2799" spans="2:9" ht="19.899999999999999" customHeight="1" x14ac:dyDescent="0.25">
      <c r="B2799" s="24" t="s">
        <v>2220</v>
      </c>
      <c r="C2799" s="18" t="s">
        <v>49</v>
      </c>
      <c r="D2799" s="52" t="s">
        <v>2221</v>
      </c>
      <c r="E2799" s="53"/>
      <c r="F2799" s="53"/>
      <c r="G2799" s="53"/>
      <c r="H2799" s="53"/>
      <c r="I2799" s="54"/>
    </row>
    <row r="2800" spans="2:9" ht="19.899999999999999" customHeight="1" x14ac:dyDescent="0.25">
      <c r="B2800" s="23"/>
      <c r="C2800" s="2" t="s">
        <v>470</v>
      </c>
      <c r="D2800" s="45" t="s">
        <v>2222</v>
      </c>
      <c r="E2800" s="46"/>
      <c r="F2800" s="46"/>
      <c r="G2800" s="46"/>
      <c r="H2800" s="46"/>
      <c r="I2800" s="47"/>
    </row>
    <row r="2801" spans="2:9" ht="19.899999999999999" customHeight="1" x14ac:dyDescent="0.25">
      <c r="B2801" s="23"/>
      <c r="C2801" s="2" t="s">
        <v>573</v>
      </c>
      <c r="D2801" s="45" t="s">
        <v>2223</v>
      </c>
      <c r="E2801" s="46"/>
      <c r="F2801" s="46"/>
      <c r="G2801" s="46"/>
      <c r="H2801" s="46"/>
      <c r="I2801" s="47"/>
    </row>
    <row r="2802" spans="2:9" ht="19.899999999999999" customHeight="1" x14ac:dyDescent="0.25">
      <c r="B2802" s="23"/>
      <c r="C2802" s="2" t="s">
        <v>2224</v>
      </c>
      <c r="D2802" s="45" t="s">
        <v>2225</v>
      </c>
      <c r="E2802" s="46"/>
      <c r="F2802" s="46"/>
      <c r="G2802" s="46"/>
      <c r="H2802" s="46"/>
      <c r="I2802" s="47"/>
    </row>
    <row r="2803" spans="2:9" x14ac:dyDescent="0.25">
      <c r="B2803" s="23"/>
      <c r="I2803" s="26"/>
    </row>
    <row r="2804" spans="2:9" x14ac:dyDescent="0.25">
      <c r="B2804" s="23"/>
      <c r="C2804" s="55" t="s">
        <v>60</v>
      </c>
      <c r="D2804" s="46"/>
      <c r="E2804" s="46"/>
      <c r="F2804" s="46"/>
      <c r="G2804" s="46"/>
      <c r="H2804" s="46"/>
      <c r="I2804" s="47"/>
    </row>
    <row r="2805" spans="2:9" x14ac:dyDescent="0.25">
      <c r="B2805" s="23"/>
      <c r="C2805" s="67" t="str">
        <f>HYPERLINK("#'Json-dokumentation'!B2853", "Fotnot: (*)")</f>
        <v>Fotnot: (*)</v>
      </c>
      <c r="D2805" s="46"/>
      <c r="E2805" s="46"/>
      <c r="F2805" s="46"/>
      <c r="G2805" s="46"/>
      <c r="H2805" s="46"/>
      <c r="I2805" s="47"/>
    </row>
    <row r="2806" spans="2:9" x14ac:dyDescent="0.25">
      <c r="B2806" s="23"/>
      <c r="I2806" s="26"/>
    </row>
    <row r="2807" spans="2:9" ht="19.899999999999999" customHeight="1" x14ac:dyDescent="0.25">
      <c r="B2807" s="24" t="s">
        <v>2226</v>
      </c>
      <c r="C2807" s="18" t="s">
        <v>49</v>
      </c>
      <c r="D2807" s="52" t="s">
        <v>2227</v>
      </c>
      <c r="E2807" s="53"/>
      <c r="F2807" s="53"/>
      <c r="G2807" s="53"/>
      <c r="H2807" s="53"/>
      <c r="I2807" s="54"/>
    </row>
    <row r="2808" spans="2:9" ht="19.899999999999999" customHeight="1" x14ac:dyDescent="0.25">
      <c r="B2808" s="23"/>
      <c r="C2808" s="2" t="s">
        <v>470</v>
      </c>
      <c r="D2808" s="45" t="s">
        <v>2228</v>
      </c>
      <c r="E2808" s="46"/>
      <c r="F2808" s="46"/>
      <c r="G2808" s="46"/>
      <c r="H2808" s="46"/>
      <c r="I2808" s="47"/>
    </row>
    <row r="2809" spans="2:9" ht="19.899999999999999" customHeight="1" x14ac:dyDescent="0.25">
      <c r="B2809" s="23"/>
      <c r="C2809" s="2" t="s">
        <v>573</v>
      </c>
      <c r="D2809" s="45" t="s">
        <v>2229</v>
      </c>
      <c r="E2809" s="46"/>
      <c r="F2809" s="46"/>
      <c r="G2809" s="46"/>
      <c r="H2809" s="46"/>
      <c r="I2809" s="47"/>
    </row>
    <row r="2810" spans="2:9" ht="19.899999999999999" customHeight="1" x14ac:dyDescent="0.25">
      <c r="B2810" s="23"/>
      <c r="C2810" s="2" t="s">
        <v>2230</v>
      </c>
      <c r="D2810" s="45" t="s">
        <v>2231</v>
      </c>
      <c r="E2810" s="46"/>
      <c r="F2810" s="46"/>
      <c r="G2810" s="46"/>
      <c r="H2810" s="46"/>
      <c r="I2810" s="47"/>
    </row>
    <row r="2811" spans="2:9" ht="19.899999999999999" customHeight="1" x14ac:dyDescent="0.25">
      <c r="B2811" s="23"/>
      <c r="C2811" s="2" t="s">
        <v>2232</v>
      </c>
      <c r="D2811" s="45" t="s">
        <v>2233</v>
      </c>
      <c r="E2811" s="46"/>
      <c r="F2811" s="46"/>
      <c r="G2811" s="46"/>
      <c r="H2811" s="46"/>
      <c r="I2811" s="47"/>
    </row>
    <row r="2812" spans="2:9" x14ac:dyDescent="0.25">
      <c r="B2812" s="23"/>
      <c r="I2812" s="26"/>
    </row>
    <row r="2813" spans="2:9" x14ac:dyDescent="0.25">
      <c r="B2813" s="23"/>
      <c r="C2813" s="55" t="s">
        <v>60</v>
      </c>
      <c r="D2813" s="46"/>
      <c r="E2813" s="46"/>
      <c r="F2813" s="46"/>
      <c r="G2813" s="46"/>
      <c r="H2813" s="46"/>
      <c r="I2813" s="47"/>
    </row>
    <row r="2814" spans="2:9" x14ac:dyDescent="0.25">
      <c r="B2814" s="23"/>
      <c r="C2814" s="67" t="str">
        <f>HYPERLINK("#'Json-dokumentation'!B2853", "Fotnot: (*)")</f>
        <v>Fotnot: (*)</v>
      </c>
      <c r="D2814" s="46"/>
      <c r="E2814" s="46"/>
      <c r="F2814" s="46"/>
      <c r="G2814" s="46"/>
      <c r="H2814" s="46"/>
      <c r="I2814" s="47"/>
    </row>
    <row r="2815" spans="2:9" x14ac:dyDescent="0.25">
      <c r="B2815" s="23"/>
      <c r="I2815" s="26"/>
    </row>
    <row r="2816" spans="2:9" ht="19.899999999999999" customHeight="1" x14ac:dyDescent="0.25">
      <c r="B2816" s="24" t="s">
        <v>2234</v>
      </c>
      <c r="C2816" s="18" t="s">
        <v>49</v>
      </c>
      <c r="D2816" s="52" t="s">
        <v>2235</v>
      </c>
      <c r="E2816" s="53"/>
      <c r="F2816" s="53"/>
      <c r="G2816" s="53"/>
      <c r="H2816" s="53"/>
      <c r="I2816" s="54"/>
    </row>
    <row r="2817" spans="2:9" ht="19.899999999999999" customHeight="1" x14ac:dyDescent="0.25">
      <c r="B2817" s="23"/>
      <c r="C2817" s="2" t="s">
        <v>470</v>
      </c>
      <c r="D2817" s="45" t="s">
        <v>2236</v>
      </c>
      <c r="E2817" s="46"/>
      <c r="F2817" s="46"/>
      <c r="G2817" s="46"/>
      <c r="H2817" s="46"/>
      <c r="I2817" s="47"/>
    </row>
    <row r="2818" spans="2:9" ht="19.899999999999999" customHeight="1" x14ac:dyDescent="0.25">
      <c r="B2818" s="23"/>
      <c r="C2818" s="2" t="s">
        <v>573</v>
      </c>
      <c r="D2818" s="45" t="s">
        <v>2237</v>
      </c>
      <c r="E2818" s="46"/>
      <c r="F2818" s="46"/>
      <c r="G2818" s="46"/>
      <c r="H2818" s="46"/>
      <c r="I2818" s="47"/>
    </row>
    <row r="2819" spans="2:9" ht="19.899999999999999" customHeight="1" x14ac:dyDescent="0.25">
      <c r="B2819" s="23"/>
      <c r="C2819" s="2" t="s">
        <v>2238</v>
      </c>
      <c r="D2819" s="45" t="s">
        <v>2239</v>
      </c>
      <c r="E2819" s="46"/>
      <c r="F2819" s="46"/>
      <c r="G2819" s="46"/>
      <c r="H2819" s="46"/>
      <c r="I2819" s="47"/>
    </row>
    <row r="2820" spans="2:9" ht="19.899999999999999" customHeight="1" x14ac:dyDescent="0.25">
      <c r="B2820" s="23"/>
      <c r="C2820" s="2" t="s">
        <v>2240</v>
      </c>
      <c r="D2820" s="45" t="s">
        <v>2241</v>
      </c>
      <c r="E2820" s="46"/>
      <c r="F2820" s="46"/>
      <c r="G2820" s="46"/>
      <c r="H2820" s="46"/>
      <c r="I2820" s="47"/>
    </row>
    <row r="2821" spans="2:9" ht="19.899999999999999" customHeight="1" x14ac:dyDescent="0.25">
      <c r="B2821" s="23"/>
      <c r="C2821" s="2" t="s">
        <v>2242</v>
      </c>
      <c r="D2821" s="45" t="s">
        <v>2243</v>
      </c>
      <c r="E2821" s="46"/>
      <c r="F2821" s="46"/>
      <c r="G2821" s="46"/>
      <c r="H2821" s="46"/>
      <c r="I2821" s="47"/>
    </row>
    <row r="2822" spans="2:9" x14ac:dyDescent="0.25">
      <c r="B2822" s="23"/>
      <c r="I2822" s="26"/>
    </row>
    <row r="2823" spans="2:9" x14ac:dyDescent="0.25">
      <c r="B2823" s="23"/>
      <c r="C2823" s="55" t="s">
        <v>60</v>
      </c>
      <c r="D2823" s="46"/>
      <c r="E2823" s="46"/>
      <c r="F2823" s="46"/>
      <c r="G2823" s="46"/>
      <c r="H2823" s="46"/>
      <c r="I2823" s="47"/>
    </row>
    <row r="2824" spans="2:9" x14ac:dyDescent="0.25">
      <c r="B2824" s="23"/>
      <c r="C2824" s="67" t="str">
        <f>HYPERLINK("#'Json-dokumentation'!B2853", "Fotnot: (*)")</f>
        <v>Fotnot: (*)</v>
      </c>
      <c r="D2824" s="46"/>
      <c r="E2824" s="46"/>
      <c r="F2824" s="46"/>
      <c r="G2824" s="46"/>
      <c r="H2824" s="46"/>
      <c r="I2824" s="47"/>
    </row>
    <row r="2825" spans="2:9" x14ac:dyDescent="0.25">
      <c r="B2825" s="23"/>
      <c r="I2825" s="26"/>
    </row>
    <row r="2826" spans="2:9" ht="19.899999999999999" customHeight="1" x14ac:dyDescent="0.25">
      <c r="B2826" s="24" t="s">
        <v>2244</v>
      </c>
      <c r="C2826" s="18" t="s">
        <v>49</v>
      </c>
      <c r="D2826" s="52" t="s">
        <v>2245</v>
      </c>
      <c r="E2826" s="53"/>
      <c r="F2826" s="53"/>
      <c r="G2826" s="53"/>
      <c r="H2826" s="53"/>
      <c r="I2826" s="54"/>
    </row>
    <row r="2827" spans="2:9" ht="19.899999999999999" customHeight="1" x14ac:dyDescent="0.25">
      <c r="B2827" s="23"/>
      <c r="C2827" s="2" t="s">
        <v>470</v>
      </c>
      <c r="D2827" s="45" t="s">
        <v>2246</v>
      </c>
      <c r="E2827" s="46"/>
      <c r="F2827" s="46"/>
      <c r="G2827" s="46"/>
      <c r="H2827" s="46"/>
      <c r="I2827" s="47"/>
    </row>
    <row r="2828" spans="2:9" ht="19.899999999999999" customHeight="1" x14ac:dyDescent="0.25">
      <c r="B2828" s="23"/>
      <c r="C2828" s="2" t="s">
        <v>573</v>
      </c>
      <c r="D2828" s="45" t="s">
        <v>2247</v>
      </c>
      <c r="E2828" s="46"/>
      <c r="F2828" s="46"/>
      <c r="G2828" s="46"/>
      <c r="H2828" s="46"/>
      <c r="I2828" s="47"/>
    </row>
    <row r="2829" spans="2:9" ht="19.899999999999999" customHeight="1" x14ac:dyDescent="0.25">
      <c r="B2829" s="23"/>
      <c r="C2829" s="2" t="s">
        <v>2248</v>
      </c>
      <c r="D2829" s="45" t="s">
        <v>2249</v>
      </c>
      <c r="E2829" s="46"/>
      <c r="F2829" s="46"/>
      <c r="G2829" s="46"/>
      <c r="H2829" s="46"/>
      <c r="I2829" s="47"/>
    </row>
    <row r="2830" spans="2:9" ht="19.899999999999999" customHeight="1" x14ac:dyDescent="0.25">
      <c r="B2830" s="23"/>
      <c r="C2830" s="2" t="s">
        <v>285</v>
      </c>
      <c r="D2830" s="45" t="s">
        <v>2250</v>
      </c>
      <c r="E2830" s="46"/>
      <c r="F2830" s="46"/>
      <c r="G2830" s="46"/>
      <c r="H2830" s="46"/>
      <c r="I2830" s="47"/>
    </row>
    <row r="2831" spans="2:9" ht="19.899999999999999" customHeight="1" x14ac:dyDescent="0.25">
      <c r="B2831" s="23"/>
      <c r="C2831" s="2" t="s">
        <v>2251</v>
      </c>
      <c r="D2831" s="45" t="s">
        <v>2252</v>
      </c>
      <c r="E2831" s="46"/>
      <c r="F2831" s="46"/>
      <c r="G2831" s="46"/>
      <c r="H2831" s="46"/>
      <c r="I2831" s="47"/>
    </row>
    <row r="2832" spans="2:9" ht="19.899999999999999" customHeight="1" x14ac:dyDescent="0.25">
      <c r="B2832" s="23"/>
      <c r="C2832" s="2" t="s">
        <v>2253</v>
      </c>
      <c r="D2832" s="45" t="s">
        <v>2254</v>
      </c>
      <c r="E2832" s="46"/>
      <c r="F2832" s="46"/>
      <c r="G2832" s="46"/>
      <c r="H2832" s="46"/>
      <c r="I2832" s="47"/>
    </row>
    <row r="2833" spans="2:9" x14ac:dyDescent="0.25">
      <c r="B2833" s="23"/>
      <c r="I2833" s="26"/>
    </row>
    <row r="2834" spans="2:9" x14ac:dyDescent="0.25">
      <c r="B2834" s="23"/>
      <c r="C2834" s="55" t="s">
        <v>60</v>
      </c>
      <c r="D2834" s="46"/>
      <c r="E2834" s="46"/>
      <c r="F2834" s="46"/>
      <c r="G2834" s="46"/>
      <c r="H2834" s="46"/>
      <c r="I2834" s="47"/>
    </row>
    <row r="2835" spans="2:9" x14ac:dyDescent="0.25">
      <c r="B2835" s="23"/>
      <c r="C2835" s="67" t="str">
        <f>HYPERLINK("#'Json-dokumentation'!B2853", "Fotnot: (*)")</f>
        <v>Fotnot: (*)</v>
      </c>
      <c r="D2835" s="46"/>
      <c r="E2835" s="46"/>
      <c r="F2835" s="46"/>
      <c r="G2835" s="46"/>
      <c r="H2835" s="46"/>
      <c r="I2835" s="47"/>
    </row>
    <row r="2836" spans="2:9" x14ac:dyDescent="0.25">
      <c r="B2836" s="23"/>
      <c r="I2836" s="26"/>
    </row>
    <row r="2837" spans="2:9" ht="19.899999999999999" customHeight="1" x14ac:dyDescent="0.25">
      <c r="B2837" s="24" t="s">
        <v>2255</v>
      </c>
      <c r="C2837" s="18" t="s">
        <v>49</v>
      </c>
      <c r="D2837" s="52" t="s">
        <v>2256</v>
      </c>
      <c r="E2837" s="53"/>
      <c r="F2837" s="53"/>
      <c r="G2837" s="53"/>
      <c r="H2837" s="53"/>
      <c r="I2837" s="54"/>
    </row>
    <row r="2838" spans="2:9" ht="19.899999999999999" customHeight="1" x14ac:dyDescent="0.25">
      <c r="B2838" s="23"/>
      <c r="C2838" s="2" t="s">
        <v>470</v>
      </c>
      <c r="D2838" s="45" t="s">
        <v>2257</v>
      </c>
      <c r="E2838" s="46"/>
      <c r="F2838" s="46"/>
      <c r="G2838" s="46"/>
      <c r="H2838" s="46"/>
      <c r="I2838" s="47"/>
    </row>
    <row r="2839" spans="2:9" ht="19.899999999999999" customHeight="1" x14ac:dyDescent="0.25">
      <c r="B2839" s="23"/>
      <c r="C2839" s="2" t="s">
        <v>2255</v>
      </c>
      <c r="D2839" s="45" t="s">
        <v>2258</v>
      </c>
      <c r="E2839" s="46"/>
      <c r="F2839" s="46"/>
      <c r="G2839" s="46"/>
      <c r="H2839" s="46"/>
      <c r="I2839" s="47"/>
    </row>
    <row r="2840" spans="2:9" x14ac:dyDescent="0.25">
      <c r="B2840" s="23"/>
      <c r="I2840" s="26"/>
    </row>
    <row r="2841" spans="2:9" x14ac:dyDescent="0.25">
      <c r="B2841" s="23"/>
      <c r="C2841" s="55" t="s">
        <v>60</v>
      </c>
      <c r="D2841" s="46"/>
      <c r="E2841" s="46"/>
      <c r="F2841" s="46"/>
      <c r="G2841" s="46"/>
      <c r="H2841" s="46"/>
      <c r="I2841" s="47"/>
    </row>
    <row r="2842" spans="2:9" x14ac:dyDescent="0.25">
      <c r="B2842" s="23"/>
      <c r="C2842" s="67" t="str">
        <f>HYPERLINK("#'Json-dokumentation'!B2853", "Fotnot: (*)")</f>
        <v>Fotnot: (*)</v>
      </c>
      <c r="D2842" s="46"/>
      <c r="E2842" s="46"/>
      <c r="F2842" s="46"/>
      <c r="G2842" s="46"/>
      <c r="H2842" s="46"/>
      <c r="I2842" s="47"/>
    </row>
    <row r="2843" spans="2:9" x14ac:dyDescent="0.25">
      <c r="B2843" s="23"/>
      <c r="I2843" s="26"/>
    </row>
    <row r="2844" spans="2:9" ht="19.899999999999999" customHeight="1" x14ac:dyDescent="0.25">
      <c r="B2844" s="24" t="s">
        <v>233</v>
      </c>
      <c r="C2844" s="18" t="s">
        <v>49</v>
      </c>
      <c r="D2844" s="52" t="s">
        <v>2259</v>
      </c>
      <c r="E2844" s="53"/>
      <c r="F2844" s="53"/>
      <c r="G2844" s="53"/>
      <c r="H2844" s="53"/>
      <c r="I2844" s="54"/>
    </row>
    <row r="2845" spans="2:9" ht="19.899999999999999" customHeight="1" x14ac:dyDescent="0.25">
      <c r="B2845" s="23"/>
      <c r="C2845" s="2" t="s">
        <v>470</v>
      </c>
      <c r="D2845" s="45" t="s">
        <v>2260</v>
      </c>
      <c r="E2845" s="46"/>
      <c r="F2845" s="46"/>
      <c r="G2845" s="46"/>
      <c r="H2845" s="46"/>
      <c r="I2845" s="47"/>
    </row>
    <row r="2846" spans="2:9" ht="19.899999999999999" customHeight="1" x14ac:dyDescent="0.25">
      <c r="B2846" s="23"/>
      <c r="C2846" s="2" t="s">
        <v>233</v>
      </c>
      <c r="D2846" s="45" t="s">
        <v>2261</v>
      </c>
      <c r="E2846" s="46"/>
      <c r="F2846" s="46"/>
      <c r="G2846" s="46"/>
      <c r="H2846" s="46"/>
      <c r="I2846" s="47"/>
    </row>
    <row r="2847" spans="2:9" x14ac:dyDescent="0.25">
      <c r="B2847" s="23"/>
      <c r="I2847" s="26"/>
    </row>
    <row r="2848" spans="2:9" x14ac:dyDescent="0.25">
      <c r="B2848" s="23"/>
      <c r="C2848" s="55" t="s">
        <v>60</v>
      </c>
      <c r="D2848" s="46"/>
      <c r="E2848" s="46"/>
      <c r="F2848" s="46"/>
      <c r="G2848" s="46"/>
      <c r="H2848" s="46"/>
      <c r="I2848" s="47"/>
    </row>
    <row r="2849" spans="1:10" x14ac:dyDescent="0.25">
      <c r="B2849" s="23"/>
      <c r="C2849" s="67" t="str">
        <f>HYPERLINK("#'Json-dokumentation'!B2853", "Fotnot: (*)")</f>
        <v>Fotnot: (*)</v>
      </c>
      <c r="D2849" s="46"/>
      <c r="E2849" s="46"/>
      <c r="F2849" s="46"/>
      <c r="G2849" s="46"/>
      <c r="H2849" s="46"/>
      <c r="I2849" s="47"/>
    </row>
    <row r="2850" spans="1:10" x14ac:dyDescent="0.25">
      <c r="B2850" s="25"/>
      <c r="C2850" s="21"/>
      <c r="D2850" s="21"/>
      <c r="E2850" s="21"/>
      <c r="F2850" s="21"/>
      <c r="G2850" s="21"/>
      <c r="H2850" s="21"/>
      <c r="I2850" s="27"/>
    </row>
    <row r="2852" spans="1:10" x14ac:dyDescent="0.25">
      <c r="B2852" s="3" t="s">
        <v>734</v>
      </c>
    </row>
    <row r="2853" spans="1:10" ht="19.899999999999999" customHeight="1" x14ac:dyDescent="0.25">
      <c r="B2853" s="36" t="s">
        <v>1004</v>
      </c>
      <c r="C2853" s="56" t="s">
        <v>2262</v>
      </c>
      <c r="D2853" s="57"/>
      <c r="E2853" s="57"/>
      <c r="F2853" s="57"/>
      <c r="G2853" s="57"/>
      <c r="H2853" s="57"/>
      <c r="I2853" s="58"/>
    </row>
    <row r="2857" spans="1:10" ht="19.899999999999999" customHeight="1" x14ac:dyDescent="0.25">
      <c r="A2857" s="45" t="s">
        <v>32</v>
      </c>
      <c r="B2857" s="46"/>
      <c r="C2857" s="46"/>
      <c r="D2857" s="46"/>
      <c r="E2857" s="46"/>
      <c r="F2857" s="46"/>
      <c r="G2857" s="46"/>
      <c r="H2857" s="46"/>
      <c r="I2857" s="46"/>
    </row>
    <row r="2858" spans="1:10" ht="18.75" x14ac:dyDescent="0.25">
      <c r="A2858" s="16" t="s">
        <v>2263</v>
      </c>
      <c r="B2858" s="3" t="s">
        <v>47</v>
      </c>
      <c r="J2858" s="17" t="str">
        <f>HYPERLINK("#'Ändringshistorik'!C171", "Ändringshistorik: [183]")</f>
        <v>Ändringshistorik: [183]</v>
      </c>
    </row>
    <row r="2859" spans="1:10" ht="19.899999999999999" customHeight="1" x14ac:dyDescent="0.25">
      <c r="B2859" s="22" t="s">
        <v>2264</v>
      </c>
      <c r="C2859" s="20" t="s">
        <v>49</v>
      </c>
      <c r="D2859" s="42" t="s">
        <v>2265</v>
      </c>
      <c r="E2859" s="43"/>
      <c r="F2859" s="43"/>
      <c r="G2859" s="43"/>
      <c r="H2859" s="43"/>
      <c r="I2859" s="44"/>
    </row>
    <row r="2860" spans="1:10" ht="19.899999999999999" customHeight="1" x14ac:dyDescent="0.25">
      <c r="B2860" s="23"/>
      <c r="C2860" s="2" t="s">
        <v>2266</v>
      </c>
      <c r="D2860" s="45" t="s">
        <v>2267</v>
      </c>
      <c r="E2860" s="46"/>
      <c r="F2860" s="46"/>
      <c r="G2860" s="46"/>
      <c r="H2860" s="46"/>
      <c r="I2860" s="47"/>
    </row>
    <row r="2861" spans="1:10" ht="19.899999999999999" customHeight="1" x14ac:dyDescent="0.25">
      <c r="B2861" s="23"/>
      <c r="C2861" s="2" t="s">
        <v>2268</v>
      </c>
      <c r="D2861" s="45" t="s">
        <v>2269</v>
      </c>
      <c r="E2861" s="46"/>
      <c r="F2861" s="46"/>
      <c r="G2861" s="46"/>
      <c r="H2861" s="46"/>
      <c r="I2861" s="47"/>
    </row>
    <row r="2862" spans="1:10" ht="48.95" customHeight="1" x14ac:dyDescent="0.25">
      <c r="B2862" s="23"/>
      <c r="C2862" s="2" t="s">
        <v>166</v>
      </c>
      <c r="D2862" s="45" t="s">
        <v>2270</v>
      </c>
      <c r="E2862" s="46"/>
      <c r="F2862" s="46"/>
      <c r="G2862" s="46"/>
      <c r="H2862" s="46"/>
      <c r="I2862" s="47"/>
    </row>
    <row r="2863" spans="1:10" x14ac:dyDescent="0.25">
      <c r="B2863" s="23"/>
      <c r="I2863" s="26"/>
    </row>
    <row r="2864" spans="1:10" x14ac:dyDescent="0.25">
      <c r="B2864" s="23"/>
      <c r="C2864" s="51" t="s">
        <v>55</v>
      </c>
      <c r="D2864" s="46"/>
      <c r="E2864" s="46"/>
      <c r="F2864" s="46"/>
      <c r="G2864" s="46"/>
      <c r="H2864" s="46"/>
      <c r="I2864" s="47"/>
    </row>
    <row r="2865" spans="1:10" x14ac:dyDescent="0.25">
      <c r="B2865" s="25"/>
      <c r="C2865" s="21"/>
      <c r="D2865" s="21"/>
      <c r="E2865" s="21"/>
      <c r="F2865" s="21"/>
      <c r="G2865" s="21"/>
      <c r="H2865" s="21"/>
      <c r="I2865" s="27"/>
    </row>
    <row r="2869" spans="1:10" ht="121.15" customHeight="1" x14ac:dyDescent="0.25">
      <c r="A2869" s="45" t="s">
        <v>33</v>
      </c>
      <c r="B2869" s="46"/>
      <c r="C2869" s="46"/>
      <c r="D2869" s="46"/>
      <c r="E2869" s="46"/>
      <c r="F2869" s="46"/>
      <c r="G2869" s="46"/>
      <c r="H2869" s="46"/>
      <c r="I2869" s="46"/>
    </row>
    <row r="2870" spans="1:10" ht="18.75" x14ac:dyDescent="0.25">
      <c r="A2870" s="16" t="s">
        <v>2271</v>
      </c>
      <c r="B2870" s="3" t="s">
        <v>47</v>
      </c>
      <c r="J2870" s="17" t="str">
        <f>HYPERLINK("#'Ändringshistorik'!C151", "Ändringshistorik: [192]")</f>
        <v>Ändringshistorik: [192]</v>
      </c>
    </row>
    <row r="2871" spans="1:10" ht="19.899999999999999" customHeight="1" x14ac:dyDescent="0.25">
      <c r="B2871" s="22" t="s">
        <v>2272</v>
      </c>
      <c r="C2871" s="20" t="s">
        <v>49</v>
      </c>
      <c r="D2871" s="42" t="s">
        <v>2273</v>
      </c>
      <c r="E2871" s="43"/>
      <c r="F2871" s="43"/>
      <c r="G2871" s="43"/>
      <c r="H2871" s="43"/>
      <c r="I2871" s="44"/>
    </row>
    <row r="2872" spans="1:10" ht="19.899999999999999" customHeight="1" x14ac:dyDescent="0.25">
      <c r="B2872" s="23"/>
      <c r="C2872" s="2" t="s">
        <v>2274</v>
      </c>
      <c r="D2872" s="45" t="s">
        <v>2275</v>
      </c>
      <c r="E2872" s="46"/>
      <c r="F2872" s="46"/>
      <c r="G2872" s="46"/>
      <c r="H2872" s="46"/>
      <c r="I2872" s="47"/>
    </row>
    <row r="2873" spans="1:10" ht="19.899999999999999" customHeight="1" x14ac:dyDescent="0.25">
      <c r="B2873" s="23"/>
      <c r="C2873" s="2" t="s">
        <v>2276</v>
      </c>
      <c r="D2873" s="45" t="s">
        <v>2277</v>
      </c>
      <c r="E2873" s="46"/>
      <c r="F2873" s="46"/>
      <c r="G2873" s="46"/>
      <c r="H2873" s="46"/>
      <c r="I2873" s="47"/>
    </row>
    <row r="2874" spans="1:10" ht="19.899999999999999" customHeight="1" x14ac:dyDescent="0.25">
      <c r="B2874" s="23"/>
      <c r="C2874" s="2" t="s">
        <v>2278</v>
      </c>
      <c r="D2874" s="45" t="s">
        <v>2279</v>
      </c>
      <c r="E2874" s="46"/>
      <c r="F2874" s="46"/>
      <c r="G2874" s="46"/>
      <c r="H2874" s="46"/>
      <c r="I2874" s="47"/>
    </row>
    <row r="2875" spans="1:10" x14ac:dyDescent="0.25">
      <c r="B2875" s="23"/>
      <c r="I2875" s="26"/>
    </row>
    <row r="2876" spans="1:10" x14ac:dyDescent="0.25">
      <c r="B2876" s="23"/>
      <c r="C2876" s="51" t="s">
        <v>55</v>
      </c>
      <c r="D2876" s="46"/>
      <c r="E2876" s="46"/>
      <c r="F2876" s="46"/>
      <c r="G2876" s="46"/>
      <c r="H2876" s="46"/>
      <c r="I2876" s="47"/>
    </row>
    <row r="2877" spans="1:10" x14ac:dyDescent="0.25">
      <c r="B2877" s="23"/>
      <c r="I2877" s="26"/>
    </row>
    <row r="2878" spans="1:10" ht="34.35" customHeight="1" x14ac:dyDescent="0.25">
      <c r="B2878" s="24" t="s">
        <v>958</v>
      </c>
      <c r="C2878" s="19" t="s">
        <v>213</v>
      </c>
      <c r="D2878" s="52" t="s">
        <v>2280</v>
      </c>
      <c r="E2878" s="53"/>
      <c r="F2878" s="53"/>
      <c r="G2878" s="53"/>
      <c r="H2878" s="53"/>
      <c r="I2878" s="54"/>
    </row>
    <row r="2879" spans="1:10" x14ac:dyDescent="0.25">
      <c r="B2879" s="23"/>
      <c r="I2879" s="26"/>
    </row>
    <row r="2880" spans="1:10" x14ac:dyDescent="0.25">
      <c r="B2880" s="23"/>
      <c r="C2880" s="55" t="s">
        <v>60</v>
      </c>
      <c r="D2880" s="46"/>
      <c r="E2880" s="46"/>
      <c r="F2880" s="46"/>
      <c r="G2880" s="46"/>
      <c r="H2880" s="46"/>
      <c r="I2880" s="47"/>
    </row>
    <row r="2881" spans="2:9" x14ac:dyDescent="0.25">
      <c r="B2881" s="23"/>
      <c r="I2881" s="26"/>
    </row>
    <row r="2882" spans="2:9" ht="77.849999999999994" customHeight="1" x14ac:dyDescent="0.25">
      <c r="B2882" s="24" t="s">
        <v>745</v>
      </c>
      <c r="C2882" s="18" t="s">
        <v>49</v>
      </c>
      <c r="D2882" s="52" t="s">
        <v>960</v>
      </c>
      <c r="E2882" s="53"/>
      <c r="F2882" s="53"/>
      <c r="G2882" s="53"/>
      <c r="H2882" s="53"/>
      <c r="I2882" s="54"/>
    </row>
    <row r="2883" spans="2:9" ht="19.899999999999999" customHeight="1" x14ac:dyDescent="0.25">
      <c r="B2883" s="23"/>
      <c r="C2883" s="2" t="s">
        <v>747</v>
      </c>
      <c r="D2883" s="45" t="s">
        <v>748</v>
      </c>
      <c r="E2883" s="46"/>
      <c r="F2883" s="46"/>
      <c r="G2883" s="46"/>
      <c r="H2883" s="46"/>
      <c r="I2883" s="47"/>
    </row>
    <row r="2884" spans="2:9" ht="19.899999999999999" customHeight="1" x14ac:dyDescent="0.25">
      <c r="B2884" s="23"/>
      <c r="C2884" s="2" t="s">
        <v>749</v>
      </c>
      <c r="D2884" s="45" t="s">
        <v>961</v>
      </c>
      <c r="E2884" s="46"/>
      <c r="F2884" s="46"/>
      <c r="G2884" s="46"/>
      <c r="H2884" s="46"/>
      <c r="I2884" s="47"/>
    </row>
    <row r="2885" spans="2:9" ht="19.899999999999999" customHeight="1" x14ac:dyDescent="0.25">
      <c r="B2885" s="23"/>
      <c r="C2885" s="2" t="s">
        <v>962</v>
      </c>
      <c r="D2885" s="45" t="s">
        <v>963</v>
      </c>
      <c r="E2885" s="46"/>
      <c r="F2885" s="46"/>
      <c r="G2885" s="46"/>
      <c r="H2885" s="46"/>
      <c r="I2885" s="47"/>
    </row>
    <row r="2886" spans="2:9" ht="19.899999999999999" customHeight="1" x14ac:dyDescent="0.25">
      <c r="B2886" s="23"/>
      <c r="C2886" s="2" t="s">
        <v>964</v>
      </c>
      <c r="D2886" s="45" t="s">
        <v>965</v>
      </c>
      <c r="E2886" s="46"/>
      <c r="F2886" s="46"/>
      <c r="G2886" s="46"/>
      <c r="H2886" s="46"/>
      <c r="I2886" s="47"/>
    </row>
    <row r="2887" spans="2:9" x14ac:dyDescent="0.25">
      <c r="B2887" s="23"/>
      <c r="I2887" s="26"/>
    </row>
    <row r="2888" spans="2:9" x14ac:dyDescent="0.25">
      <c r="B2888" s="23"/>
      <c r="C2888" s="51" t="s">
        <v>55</v>
      </c>
      <c r="D2888" s="46"/>
      <c r="E2888" s="46"/>
      <c r="F2888" s="46"/>
      <c r="G2888" s="46"/>
      <c r="H2888" s="46"/>
      <c r="I2888" s="47"/>
    </row>
    <row r="2889" spans="2:9" x14ac:dyDescent="0.25">
      <c r="B2889" s="23"/>
      <c r="I2889" s="26"/>
    </row>
    <row r="2890" spans="2:9" ht="19.899999999999999" customHeight="1" x14ac:dyDescent="0.25">
      <c r="B2890" s="64" t="s">
        <v>966</v>
      </c>
      <c r="C2890" s="65"/>
      <c r="D2890" s="65"/>
      <c r="E2890" s="65"/>
      <c r="F2890" s="65"/>
      <c r="G2890" s="65"/>
      <c r="H2890" s="65"/>
      <c r="I2890" s="66"/>
    </row>
    <row r="2891" spans="2:9" ht="19.899999999999999" customHeight="1" x14ac:dyDescent="0.25">
      <c r="B2891" s="35" t="s">
        <v>724</v>
      </c>
      <c r="C2891" s="33" t="s">
        <v>182</v>
      </c>
      <c r="D2891" s="45" t="s">
        <v>883</v>
      </c>
      <c r="E2891" s="46"/>
      <c r="F2891" s="46"/>
      <c r="G2891" s="46"/>
      <c r="H2891" s="46"/>
      <c r="I2891" s="47"/>
    </row>
    <row r="2892" spans="2:9" x14ac:dyDescent="0.25">
      <c r="B2892" s="23"/>
      <c r="C2892" s="2" t="s">
        <v>726</v>
      </c>
      <c r="I2892" s="26"/>
    </row>
    <row r="2893" spans="2:9" x14ac:dyDescent="0.25">
      <c r="B2893" s="23"/>
      <c r="C2893" s="2" t="s">
        <v>727</v>
      </c>
      <c r="I2893" s="26"/>
    </row>
    <row r="2894" spans="2:9" x14ac:dyDescent="0.25">
      <c r="B2894" s="23"/>
      <c r="I2894" s="26"/>
    </row>
    <row r="2895" spans="2:9" x14ac:dyDescent="0.25">
      <c r="B2895" s="23"/>
      <c r="C2895" s="55" t="s">
        <v>60</v>
      </c>
      <c r="D2895" s="46"/>
      <c r="E2895" s="46"/>
      <c r="F2895" s="46"/>
      <c r="G2895" s="46"/>
      <c r="H2895" s="46"/>
      <c r="I2895" s="47"/>
    </row>
    <row r="2896" spans="2:9" x14ac:dyDescent="0.25">
      <c r="B2896" s="23"/>
      <c r="C2896" s="67" t="str">
        <f>HYPERLINK("#'Json-dokumentation'!B3038", "Fotnot: (*), (**)")</f>
        <v>Fotnot: (*), (**)</v>
      </c>
      <c r="D2896" s="46"/>
      <c r="E2896" s="46"/>
      <c r="F2896" s="46"/>
      <c r="G2896" s="46"/>
      <c r="H2896" s="46"/>
      <c r="I2896" s="47"/>
    </row>
    <row r="2897" spans="2:9" x14ac:dyDescent="0.25">
      <c r="B2897" s="23"/>
      <c r="I2897" s="26"/>
    </row>
    <row r="2898" spans="2:9" ht="19.899999999999999" customHeight="1" x14ac:dyDescent="0.25">
      <c r="B2898" s="24" t="s">
        <v>728</v>
      </c>
      <c r="C2898" s="19" t="s">
        <v>695</v>
      </c>
      <c r="D2898" s="52" t="s">
        <v>884</v>
      </c>
      <c r="E2898" s="53"/>
      <c r="F2898" s="53"/>
      <c r="G2898" s="53"/>
      <c r="H2898" s="53"/>
      <c r="I2898" s="54"/>
    </row>
    <row r="2899" spans="2:9" x14ac:dyDescent="0.25">
      <c r="B2899" s="23"/>
      <c r="C2899" s="2" t="s">
        <v>730</v>
      </c>
      <c r="I2899" s="26"/>
    </row>
    <row r="2900" spans="2:9" x14ac:dyDescent="0.25">
      <c r="B2900" s="23"/>
      <c r="C2900" s="2" t="s">
        <v>886</v>
      </c>
      <c r="I2900" s="26"/>
    </row>
    <row r="2901" spans="2:9" x14ac:dyDescent="0.25">
      <c r="B2901" s="23"/>
      <c r="I2901" s="26"/>
    </row>
    <row r="2902" spans="2:9" x14ac:dyDescent="0.25">
      <c r="B2902" s="23"/>
      <c r="C2902" s="55" t="s">
        <v>60</v>
      </c>
      <c r="D2902" s="46"/>
      <c r="E2902" s="46"/>
      <c r="F2902" s="46"/>
      <c r="G2902" s="46"/>
      <c r="H2902" s="46"/>
      <c r="I2902" s="47"/>
    </row>
    <row r="2903" spans="2:9" x14ac:dyDescent="0.25">
      <c r="B2903" s="23"/>
      <c r="C2903" s="67" t="str">
        <f>HYPERLINK("#'Json-dokumentation'!B3038", "Fotnot: (*), (**)")</f>
        <v>Fotnot: (*), (**)</v>
      </c>
      <c r="D2903" s="46"/>
      <c r="E2903" s="46"/>
      <c r="F2903" s="46"/>
      <c r="G2903" s="46"/>
      <c r="H2903" s="46"/>
      <c r="I2903" s="47"/>
    </row>
    <row r="2904" spans="2:9" x14ac:dyDescent="0.25">
      <c r="B2904" s="23"/>
      <c r="I2904" s="26"/>
    </row>
    <row r="2905" spans="2:9" ht="48.95" customHeight="1" x14ac:dyDescent="0.25">
      <c r="B2905" s="24" t="s">
        <v>967</v>
      </c>
      <c r="C2905" s="19" t="s">
        <v>182</v>
      </c>
      <c r="D2905" s="52" t="s">
        <v>968</v>
      </c>
      <c r="E2905" s="53"/>
      <c r="F2905" s="53"/>
      <c r="G2905" s="53"/>
      <c r="H2905" s="53"/>
      <c r="I2905" s="54"/>
    </row>
    <row r="2906" spans="2:9" x14ac:dyDescent="0.25">
      <c r="B2906" s="23"/>
      <c r="C2906" s="2" t="s">
        <v>969</v>
      </c>
      <c r="I2906" s="26"/>
    </row>
    <row r="2907" spans="2:9" x14ac:dyDescent="0.25">
      <c r="B2907" s="23"/>
      <c r="C2907" s="2" t="s">
        <v>970</v>
      </c>
      <c r="I2907" s="26"/>
    </row>
    <row r="2908" spans="2:9" x14ac:dyDescent="0.25">
      <c r="B2908" s="23"/>
      <c r="I2908" s="26"/>
    </row>
    <row r="2909" spans="2:9" x14ac:dyDescent="0.25">
      <c r="B2909" s="23"/>
      <c r="C2909" s="55" t="s">
        <v>60</v>
      </c>
      <c r="D2909" s="46"/>
      <c r="E2909" s="46"/>
      <c r="F2909" s="46"/>
      <c r="G2909" s="46"/>
      <c r="H2909" s="46"/>
      <c r="I2909" s="47"/>
    </row>
    <row r="2910" spans="2:9" x14ac:dyDescent="0.25">
      <c r="B2910" s="23"/>
      <c r="C2910" s="67" t="str">
        <f>HYPERLINK("#'Json-dokumentation'!B3038", "Fotnot: (*), (**)")</f>
        <v>Fotnot: (*), (**)</v>
      </c>
      <c r="D2910" s="46"/>
      <c r="E2910" s="46"/>
      <c r="F2910" s="46"/>
      <c r="G2910" s="46"/>
      <c r="H2910" s="46"/>
      <c r="I2910" s="47"/>
    </row>
    <row r="2911" spans="2:9" x14ac:dyDescent="0.25">
      <c r="B2911" s="23"/>
      <c r="I2911" s="26"/>
    </row>
    <row r="2912" spans="2:9" ht="63.4" customHeight="1" x14ac:dyDescent="0.25">
      <c r="B2912" s="24" t="s">
        <v>971</v>
      </c>
      <c r="C2912" s="19" t="s">
        <v>182</v>
      </c>
      <c r="D2912" s="52" t="s">
        <v>972</v>
      </c>
      <c r="E2912" s="53"/>
      <c r="F2912" s="53"/>
      <c r="G2912" s="53"/>
      <c r="H2912" s="53"/>
      <c r="I2912" s="54"/>
    </row>
    <row r="2913" spans="2:9" x14ac:dyDescent="0.25">
      <c r="B2913" s="23"/>
      <c r="C2913" s="2" t="s">
        <v>720</v>
      </c>
      <c r="I2913" s="26"/>
    </row>
    <row r="2914" spans="2:9" x14ac:dyDescent="0.25">
      <c r="B2914" s="23"/>
      <c r="C2914" s="2" t="s">
        <v>713</v>
      </c>
      <c r="I2914" s="26"/>
    </row>
    <row r="2915" spans="2:9" x14ac:dyDescent="0.25">
      <c r="B2915" s="23"/>
      <c r="I2915" s="26"/>
    </row>
    <row r="2916" spans="2:9" x14ac:dyDescent="0.25">
      <c r="B2916" s="23"/>
      <c r="C2916" s="55" t="s">
        <v>60</v>
      </c>
      <c r="D2916" s="46"/>
      <c r="E2916" s="46"/>
      <c r="F2916" s="46"/>
      <c r="G2916" s="46"/>
      <c r="H2916" s="46"/>
      <c r="I2916" s="47"/>
    </row>
    <row r="2917" spans="2:9" x14ac:dyDescent="0.25">
      <c r="B2917" s="23"/>
      <c r="C2917" s="67" t="str">
        <f>HYPERLINK("#'Json-dokumentation'!B3038", "Fotnot: (*), (**)")</f>
        <v>Fotnot: (*), (**)</v>
      </c>
      <c r="D2917" s="46"/>
      <c r="E2917" s="46"/>
      <c r="F2917" s="46"/>
      <c r="G2917" s="46"/>
      <c r="H2917" s="46"/>
      <c r="I2917" s="47"/>
    </row>
    <row r="2918" spans="2:9" x14ac:dyDescent="0.25">
      <c r="B2918" s="23"/>
      <c r="I2918" s="26"/>
    </row>
    <row r="2919" spans="2:9" ht="19.899999999999999" customHeight="1" x14ac:dyDescent="0.25">
      <c r="B2919" s="24" t="s">
        <v>694</v>
      </c>
      <c r="C2919" s="19" t="s">
        <v>182</v>
      </c>
      <c r="D2919" s="52" t="s">
        <v>696</v>
      </c>
      <c r="E2919" s="53"/>
      <c r="F2919" s="53"/>
      <c r="G2919" s="53"/>
      <c r="H2919" s="53"/>
      <c r="I2919" s="54"/>
    </row>
    <row r="2920" spans="2:9" x14ac:dyDescent="0.25">
      <c r="B2920" s="23"/>
      <c r="C2920" s="2" t="s">
        <v>697</v>
      </c>
      <c r="I2920" s="26"/>
    </row>
    <row r="2921" spans="2:9" x14ac:dyDescent="0.25">
      <c r="B2921" s="23"/>
      <c r="C2921" s="2" t="s">
        <v>698</v>
      </c>
      <c r="I2921" s="26"/>
    </row>
    <row r="2922" spans="2:9" x14ac:dyDescent="0.25">
      <c r="B2922" s="23"/>
      <c r="I2922" s="26"/>
    </row>
    <row r="2923" spans="2:9" x14ac:dyDescent="0.25">
      <c r="B2923" s="23"/>
      <c r="C2923" s="55" t="s">
        <v>60</v>
      </c>
      <c r="D2923" s="46"/>
      <c r="E2923" s="46"/>
      <c r="F2923" s="46"/>
      <c r="G2923" s="46"/>
      <c r="H2923" s="46"/>
      <c r="I2923" s="47"/>
    </row>
    <row r="2924" spans="2:9" x14ac:dyDescent="0.25">
      <c r="B2924" s="23"/>
      <c r="C2924" s="67" t="str">
        <f>HYPERLINK("#'Json-dokumentation'!B3038", "Fotnot: (*), (**)")</f>
        <v>Fotnot: (*), (**)</v>
      </c>
      <c r="D2924" s="46"/>
      <c r="E2924" s="46"/>
      <c r="F2924" s="46"/>
      <c r="G2924" s="46"/>
      <c r="H2924" s="46"/>
      <c r="I2924" s="47"/>
    </row>
    <row r="2925" spans="2:9" x14ac:dyDescent="0.25">
      <c r="B2925" s="23"/>
      <c r="I2925" s="26"/>
    </row>
    <row r="2926" spans="2:9" ht="34.35" customHeight="1" x14ac:dyDescent="0.25">
      <c r="B2926" s="64" t="s">
        <v>973</v>
      </c>
      <c r="C2926" s="65"/>
      <c r="D2926" s="65"/>
      <c r="E2926" s="65"/>
      <c r="F2926" s="65"/>
      <c r="G2926" s="65"/>
      <c r="H2926" s="65"/>
      <c r="I2926" s="66"/>
    </row>
    <row r="2927" spans="2:9" ht="19.899999999999999" customHeight="1" x14ac:dyDescent="0.25">
      <c r="B2927" s="35" t="s">
        <v>974</v>
      </c>
      <c r="C2927" s="33" t="s">
        <v>182</v>
      </c>
      <c r="D2927" s="45" t="s">
        <v>975</v>
      </c>
      <c r="E2927" s="46"/>
      <c r="F2927" s="46"/>
      <c r="G2927" s="46"/>
      <c r="H2927" s="46"/>
      <c r="I2927" s="47"/>
    </row>
    <row r="2928" spans="2:9" x14ac:dyDescent="0.25">
      <c r="B2928" s="23"/>
      <c r="C2928" s="2" t="s">
        <v>976</v>
      </c>
      <c r="I2928" s="26"/>
    </row>
    <row r="2929" spans="2:9" x14ac:dyDescent="0.25">
      <c r="B2929" s="23"/>
      <c r="C2929" s="2" t="s">
        <v>803</v>
      </c>
      <c r="I2929" s="26"/>
    </row>
    <row r="2930" spans="2:9" x14ac:dyDescent="0.25">
      <c r="B2930" s="23"/>
      <c r="I2930" s="26"/>
    </row>
    <row r="2931" spans="2:9" x14ac:dyDescent="0.25">
      <c r="B2931" s="23"/>
      <c r="C2931" s="55" t="s">
        <v>60</v>
      </c>
      <c r="D2931" s="46"/>
      <c r="E2931" s="46"/>
      <c r="F2931" s="46"/>
      <c r="G2931" s="46"/>
      <c r="H2931" s="46"/>
      <c r="I2931" s="47"/>
    </row>
    <row r="2932" spans="2:9" x14ac:dyDescent="0.25">
      <c r="B2932" s="23"/>
      <c r="C2932" s="67" t="str">
        <f>HYPERLINK("#'Json-dokumentation'!B3038", "Fotnot: (*), (**)")</f>
        <v>Fotnot: (*), (**)</v>
      </c>
      <c r="D2932" s="46"/>
      <c r="E2932" s="46"/>
      <c r="F2932" s="46"/>
      <c r="G2932" s="46"/>
      <c r="H2932" s="46"/>
      <c r="I2932" s="47"/>
    </row>
    <row r="2933" spans="2:9" x14ac:dyDescent="0.25">
      <c r="B2933" s="23"/>
      <c r="I2933" s="26"/>
    </row>
    <row r="2934" spans="2:9" ht="19.899999999999999" customHeight="1" x14ac:dyDescent="0.25">
      <c r="B2934" s="24" t="s">
        <v>977</v>
      </c>
      <c r="C2934" s="18" t="s">
        <v>49</v>
      </c>
      <c r="D2934" s="52" t="s">
        <v>978</v>
      </c>
      <c r="E2934" s="53"/>
      <c r="F2934" s="53"/>
      <c r="G2934" s="53"/>
      <c r="H2934" s="53"/>
      <c r="I2934" s="54"/>
    </row>
    <row r="2935" spans="2:9" ht="19.899999999999999" customHeight="1" x14ac:dyDescent="0.25">
      <c r="B2935" s="23"/>
      <c r="C2935" s="2" t="s">
        <v>289</v>
      </c>
      <c r="D2935" s="45" t="s">
        <v>635</v>
      </c>
      <c r="E2935" s="46"/>
      <c r="F2935" s="46"/>
      <c r="G2935" s="46"/>
      <c r="H2935" s="46"/>
      <c r="I2935" s="47"/>
    </row>
    <row r="2936" spans="2:9" ht="19.899999999999999" customHeight="1" x14ac:dyDescent="0.25">
      <c r="B2936" s="23"/>
      <c r="C2936" s="2" t="s">
        <v>979</v>
      </c>
      <c r="D2936" s="45" t="s">
        <v>980</v>
      </c>
      <c r="E2936" s="46"/>
      <c r="F2936" s="46"/>
      <c r="G2936" s="46"/>
      <c r="H2936" s="46"/>
      <c r="I2936" s="47"/>
    </row>
    <row r="2937" spans="2:9" ht="19.899999999999999" customHeight="1" x14ac:dyDescent="0.25">
      <c r="B2937" s="23"/>
      <c r="C2937" s="2" t="s">
        <v>981</v>
      </c>
      <c r="D2937" s="45" t="s">
        <v>982</v>
      </c>
      <c r="E2937" s="46"/>
      <c r="F2937" s="46"/>
      <c r="G2937" s="46"/>
      <c r="H2937" s="46"/>
      <c r="I2937" s="47"/>
    </row>
    <row r="2938" spans="2:9" ht="19.899999999999999" customHeight="1" x14ac:dyDescent="0.25">
      <c r="B2938" s="23"/>
      <c r="C2938" s="2" t="s">
        <v>983</v>
      </c>
      <c r="D2938" s="45" t="s">
        <v>984</v>
      </c>
      <c r="E2938" s="46"/>
      <c r="F2938" s="46"/>
      <c r="G2938" s="46"/>
      <c r="H2938" s="46"/>
      <c r="I2938" s="47"/>
    </row>
    <row r="2939" spans="2:9" x14ac:dyDescent="0.25">
      <c r="B2939" s="23"/>
      <c r="I2939" s="26"/>
    </row>
    <row r="2940" spans="2:9" x14ac:dyDescent="0.25">
      <c r="B2940" s="23"/>
      <c r="C2940" s="55" t="s">
        <v>60</v>
      </c>
      <c r="D2940" s="46"/>
      <c r="E2940" s="46"/>
      <c r="F2940" s="46"/>
      <c r="G2940" s="46"/>
      <c r="H2940" s="46"/>
      <c r="I2940" s="47"/>
    </row>
    <row r="2941" spans="2:9" x14ac:dyDescent="0.25">
      <c r="B2941" s="23"/>
      <c r="C2941" s="67" t="str">
        <f>HYPERLINK("#'Json-dokumentation'!B3038", "Fotnot: (*), (**)")</f>
        <v>Fotnot: (*), (**)</v>
      </c>
      <c r="D2941" s="46"/>
      <c r="E2941" s="46"/>
      <c r="F2941" s="46"/>
      <c r="G2941" s="46"/>
      <c r="H2941" s="46"/>
      <c r="I2941" s="47"/>
    </row>
    <row r="2942" spans="2:9" x14ac:dyDescent="0.25">
      <c r="B2942" s="23"/>
      <c r="I2942" s="26"/>
    </row>
    <row r="2943" spans="2:9" ht="19.899999999999999" customHeight="1" x14ac:dyDescent="0.25">
      <c r="B2943" s="24" t="s">
        <v>985</v>
      </c>
      <c r="C2943" s="18" t="s">
        <v>49</v>
      </c>
      <c r="D2943" s="52" t="s">
        <v>986</v>
      </c>
      <c r="E2943" s="53"/>
      <c r="F2943" s="53"/>
      <c r="G2943" s="53"/>
      <c r="H2943" s="53"/>
      <c r="I2943" s="54"/>
    </row>
    <row r="2944" spans="2:9" ht="19.899999999999999" customHeight="1" x14ac:dyDescent="0.25">
      <c r="B2944" s="23"/>
      <c r="C2944" s="2" t="s">
        <v>289</v>
      </c>
      <c r="D2944" s="45" t="s">
        <v>635</v>
      </c>
      <c r="E2944" s="46"/>
      <c r="F2944" s="46"/>
      <c r="G2944" s="46"/>
      <c r="H2944" s="46"/>
      <c r="I2944" s="47"/>
    </row>
    <row r="2945" spans="2:9" ht="19.899999999999999" customHeight="1" x14ac:dyDescent="0.25">
      <c r="B2945" s="23"/>
      <c r="C2945" s="2" t="s">
        <v>979</v>
      </c>
      <c r="D2945" s="45" t="s">
        <v>987</v>
      </c>
      <c r="E2945" s="46"/>
      <c r="F2945" s="46"/>
      <c r="G2945" s="46"/>
      <c r="H2945" s="46"/>
      <c r="I2945" s="47"/>
    </row>
    <row r="2946" spans="2:9" ht="19.899999999999999" customHeight="1" x14ac:dyDescent="0.25">
      <c r="B2946" s="23"/>
      <c r="C2946" s="2" t="s">
        <v>981</v>
      </c>
      <c r="D2946" s="45" t="s">
        <v>988</v>
      </c>
      <c r="E2946" s="46"/>
      <c r="F2946" s="46"/>
      <c r="G2946" s="46"/>
      <c r="H2946" s="46"/>
      <c r="I2946" s="47"/>
    </row>
    <row r="2947" spans="2:9" x14ac:dyDescent="0.25">
      <c r="B2947" s="23"/>
      <c r="I2947" s="26"/>
    </row>
    <row r="2948" spans="2:9" x14ac:dyDescent="0.25">
      <c r="B2948" s="23"/>
      <c r="C2948" s="55" t="s">
        <v>60</v>
      </c>
      <c r="D2948" s="46"/>
      <c r="E2948" s="46"/>
      <c r="F2948" s="46"/>
      <c r="G2948" s="46"/>
      <c r="H2948" s="46"/>
      <c r="I2948" s="47"/>
    </row>
    <row r="2949" spans="2:9" x14ac:dyDescent="0.25">
      <c r="B2949" s="23"/>
      <c r="C2949" s="67" t="str">
        <f>HYPERLINK("#'Json-dokumentation'!B3038", "Fotnot: (*), (**)")</f>
        <v>Fotnot: (*), (**)</v>
      </c>
      <c r="D2949" s="46"/>
      <c r="E2949" s="46"/>
      <c r="F2949" s="46"/>
      <c r="G2949" s="46"/>
      <c r="H2949" s="46"/>
      <c r="I2949" s="47"/>
    </row>
    <row r="2950" spans="2:9" x14ac:dyDescent="0.25">
      <c r="B2950" s="23"/>
      <c r="I2950" s="26"/>
    </row>
    <row r="2951" spans="2:9" ht="19.899999999999999" customHeight="1" x14ac:dyDescent="0.25">
      <c r="B2951" s="24" t="s">
        <v>989</v>
      </c>
      <c r="C2951" s="18" t="s">
        <v>49</v>
      </c>
      <c r="D2951" s="52" t="s">
        <v>990</v>
      </c>
      <c r="E2951" s="53"/>
      <c r="F2951" s="53"/>
      <c r="G2951" s="53"/>
      <c r="H2951" s="53"/>
      <c r="I2951" s="54"/>
    </row>
    <row r="2952" spans="2:9" ht="19.899999999999999" customHeight="1" x14ac:dyDescent="0.25">
      <c r="B2952" s="23"/>
      <c r="C2952" s="2" t="s">
        <v>289</v>
      </c>
      <c r="D2952" s="45" t="s">
        <v>635</v>
      </c>
      <c r="E2952" s="46"/>
      <c r="F2952" s="46"/>
      <c r="G2952" s="46"/>
      <c r="H2952" s="46"/>
      <c r="I2952" s="47"/>
    </row>
    <row r="2953" spans="2:9" ht="19.899999999999999" customHeight="1" x14ac:dyDescent="0.25">
      <c r="B2953" s="23"/>
      <c r="C2953" s="2" t="s">
        <v>979</v>
      </c>
      <c r="D2953" s="45" t="s">
        <v>987</v>
      </c>
      <c r="E2953" s="46"/>
      <c r="F2953" s="46"/>
      <c r="G2953" s="46"/>
      <c r="H2953" s="46"/>
      <c r="I2953" s="47"/>
    </row>
    <row r="2954" spans="2:9" ht="19.899999999999999" customHeight="1" x14ac:dyDescent="0.25">
      <c r="B2954" s="23"/>
      <c r="C2954" s="2" t="s">
        <v>981</v>
      </c>
      <c r="D2954" s="45" t="s">
        <v>991</v>
      </c>
      <c r="E2954" s="46"/>
      <c r="F2954" s="46"/>
      <c r="G2954" s="46"/>
      <c r="H2954" s="46"/>
      <c r="I2954" s="47"/>
    </row>
    <row r="2955" spans="2:9" x14ac:dyDescent="0.25">
      <c r="B2955" s="23"/>
      <c r="I2955" s="26"/>
    </row>
    <row r="2956" spans="2:9" x14ac:dyDescent="0.25">
      <c r="B2956" s="23"/>
      <c r="C2956" s="55" t="s">
        <v>60</v>
      </c>
      <c r="D2956" s="46"/>
      <c r="E2956" s="46"/>
      <c r="F2956" s="46"/>
      <c r="G2956" s="46"/>
      <c r="H2956" s="46"/>
      <c r="I2956" s="47"/>
    </row>
    <row r="2957" spans="2:9" x14ac:dyDescent="0.25">
      <c r="B2957" s="23"/>
      <c r="C2957" s="67" t="str">
        <f>HYPERLINK("#'Json-dokumentation'!B3038", "Fotnot: (*), (**)")</f>
        <v>Fotnot: (*), (**)</v>
      </c>
      <c r="D2957" s="46"/>
      <c r="E2957" s="46"/>
      <c r="F2957" s="46"/>
      <c r="G2957" s="46"/>
      <c r="H2957" s="46"/>
      <c r="I2957" s="47"/>
    </row>
    <row r="2958" spans="2:9" x14ac:dyDescent="0.25">
      <c r="B2958" s="23"/>
      <c r="I2958" s="26"/>
    </row>
    <row r="2959" spans="2:9" ht="19.899999999999999" customHeight="1" x14ac:dyDescent="0.25">
      <c r="B2959" s="24" t="s">
        <v>992</v>
      </c>
      <c r="C2959" s="19" t="s">
        <v>220</v>
      </c>
      <c r="D2959" s="52" t="s">
        <v>993</v>
      </c>
      <c r="E2959" s="53"/>
      <c r="F2959" s="53"/>
      <c r="G2959" s="53"/>
      <c r="H2959" s="53"/>
      <c r="I2959" s="54"/>
    </row>
    <row r="2960" spans="2:9" x14ac:dyDescent="0.25">
      <c r="B2960" s="23"/>
      <c r="C2960" s="2" t="s">
        <v>222</v>
      </c>
      <c r="I2960" s="26"/>
    </row>
    <row r="2961" spans="2:9" x14ac:dyDescent="0.25">
      <c r="B2961" s="23"/>
      <c r="I2961" s="26"/>
    </row>
    <row r="2962" spans="2:9" x14ac:dyDescent="0.25">
      <c r="B2962" s="23"/>
      <c r="C2962" s="55" t="s">
        <v>60</v>
      </c>
      <c r="D2962" s="46"/>
      <c r="E2962" s="46"/>
      <c r="F2962" s="46"/>
      <c r="G2962" s="46"/>
      <c r="H2962" s="46"/>
      <c r="I2962" s="47"/>
    </row>
    <row r="2963" spans="2:9" x14ac:dyDescent="0.25">
      <c r="B2963" s="23"/>
      <c r="C2963" s="67" t="str">
        <f>HYPERLINK("#'Json-dokumentation'!B3038", "Fotnot: (*), (**)")</f>
        <v>Fotnot: (*), (**)</v>
      </c>
      <c r="D2963" s="46"/>
      <c r="E2963" s="46"/>
      <c r="F2963" s="46"/>
      <c r="G2963" s="46"/>
      <c r="H2963" s="46"/>
      <c r="I2963" s="47"/>
    </row>
    <row r="2964" spans="2:9" x14ac:dyDescent="0.25">
      <c r="B2964" s="23"/>
      <c r="I2964" s="26"/>
    </row>
    <row r="2965" spans="2:9" ht="19.899999999999999" customHeight="1" x14ac:dyDescent="0.25">
      <c r="B2965" s="24" t="s">
        <v>994</v>
      </c>
      <c r="C2965" s="19" t="s">
        <v>220</v>
      </c>
      <c r="D2965" s="52" t="s">
        <v>995</v>
      </c>
      <c r="E2965" s="53"/>
      <c r="F2965" s="53"/>
      <c r="G2965" s="53"/>
      <c r="H2965" s="53"/>
      <c r="I2965" s="54"/>
    </row>
    <row r="2966" spans="2:9" x14ac:dyDescent="0.25">
      <c r="B2966" s="23"/>
      <c r="C2966" s="2" t="s">
        <v>222</v>
      </c>
      <c r="I2966" s="26"/>
    </row>
    <row r="2967" spans="2:9" x14ac:dyDescent="0.25">
      <c r="B2967" s="23"/>
      <c r="I2967" s="26"/>
    </row>
    <row r="2968" spans="2:9" x14ac:dyDescent="0.25">
      <c r="B2968" s="23"/>
      <c r="C2968" s="55" t="s">
        <v>60</v>
      </c>
      <c r="D2968" s="46"/>
      <c r="E2968" s="46"/>
      <c r="F2968" s="46"/>
      <c r="G2968" s="46"/>
      <c r="H2968" s="46"/>
      <c r="I2968" s="47"/>
    </row>
    <row r="2969" spans="2:9" x14ac:dyDescent="0.25">
      <c r="B2969" s="23"/>
      <c r="C2969" s="67" t="str">
        <f>HYPERLINK("#'Json-dokumentation'!B3038", "Fotnot: (*), (**)")</f>
        <v>Fotnot: (*), (**)</v>
      </c>
      <c r="D2969" s="46"/>
      <c r="E2969" s="46"/>
      <c r="F2969" s="46"/>
      <c r="G2969" s="46"/>
      <c r="H2969" s="46"/>
      <c r="I2969" s="47"/>
    </row>
    <row r="2970" spans="2:9" x14ac:dyDescent="0.25">
      <c r="B2970" s="23"/>
      <c r="I2970" s="26"/>
    </row>
    <row r="2971" spans="2:9" ht="19.899999999999999" customHeight="1" x14ac:dyDescent="0.25">
      <c r="B2971" s="24" t="s">
        <v>996</v>
      </c>
      <c r="C2971" s="19" t="s">
        <v>220</v>
      </c>
      <c r="D2971" s="52" t="s">
        <v>997</v>
      </c>
      <c r="E2971" s="53"/>
      <c r="F2971" s="53"/>
      <c r="G2971" s="53"/>
      <c r="H2971" s="53"/>
      <c r="I2971" s="54"/>
    </row>
    <row r="2972" spans="2:9" x14ac:dyDescent="0.25">
      <c r="B2972" s="23"/>
      <c r="C2972" s="2" t="s">
        <v>222</v>
      </c>
      <c r="I2972" s="26"/>
    </row>
    <row r="2973" spans="2:9" x14ac:dyDescent="0.25">
      <c r="B2973" s="23"/>
      <c r="I2973" s="26"/>
    </row>
    <row r="2974" spans="2:9" x14ac:dyDescent="0.25">
      <c r="B2974" s="23"/>
      <c r="C2974" s="55" t="s">
        <v>60</v>
      </c>
      <c r="D2974" s="46"/>
      <c r="E2974" s="46"/>
      <c r="F2974" s="46"/>
      <c r="G2974" s="46"/>
      <c r="H2974" s="46"/>
      <c r="I2974" s="47"/>
    </row>
    <row r="2975" spans="2:9" x14ac:dyDescent="0.25">
      <c r="B2975" s="23"/>
      <c r="C2975" s="67" t="str">
        <f>HYPERLINK("#'Json-dokumentation'!B3038", "Fotnot: (*), (**)")</f>
        <v>Fotnot: (*), (**)</v>
      </c>
      <c r="D2975" s="46"/>
      <c r="E2975" s="46"/>
      <c r="F2975" s="46"/>
      <c r="G2975" s="46"/>
      <c r="H2975" s="46"/>
      <c r="I2975" s="47"/>
    </row>
    <row r="2976" spans="2:9" x14ac:dyDescent="0.25">
      <c r="B2976" s="23"/>
      <c r="I2976" s="26"/>
    </row>
    <row r="2977" spans="2:9" ht="19.899999999999999" customHeight="1" x14ac:dyDescent="0.25">
      <c r="B2977" s="64" t="s">
        <v>998</v>
      </c>
      <c r="C2977" s="65"/>
      <c r="D2977" s="65"/>
      <c r="E2977" s="65"/>
      <c r="F2977" s="65"/>
      <c r="G2977" s="65"/>
      <c r="H2977" s="65"/>
      <c r="I2977" s="66"/>
    </row>
    <row r="2978" spans="2:9" ht="19.899999999999999" customHeight="1" x14ac:dyDescent="0.25">
      <c r="B2978" s="35" t="s">
        <v>655</v>
      </c>
      <c r="C2978" s="34" t="s">
        <v>49</v>
      </c>
      <c r="D2978" s="45" t="s">
        <v>656</v>
      </c>
      <c r="E2978" s="46"/>
      <c r="F2978" s="46"/>
      <c r="G2978" s="46"/>
      <c r="H2978" s="46"/>
      <c r="I2978" s="47"/>
    </row>
    <row r="2979" spans="2:9" ht="19.899999999999999" customHeight="1" x14ac:dyDescent="0.25">
      <c r="B2979" s="23"/>
      <c r="C2979" s="2" t="s">
        <v>657</v>
      </c>
      <c r="D2979" s="45" t="s">
        <v>658</v>
      </c>
      <c r="E2979" s="46"/>
      <c r="F2979" s="46"/>
      <c r="G2979" s="46"/>
      <c r="H2979" s="46"/>
      <c r="I2979" s="47"/>
    </row>
    <row r="2980" spans="2:9" ht="19.899999999999999" customHeight="1" x14ac:dyDescent="0.25">
      <c r="B2980" s="23"/>
      <c r="C2980" s="2" t="s">
        <v>659</v>
      </c>
      <c r="D2980" s="45" t="s">
        <v>660</v>
      </c>
      <c r="E2980" s="46"/>
      <c r="F2980" s="46"/>
      <c r="G2980" s="46"/>
      <c r="H2980" s="46"/>
      <c r="I2980" s="47"/>
    </row>
    <row r="2981" spans="2:9" ht="19.899999999999999" customHeight="1" x14ac:dyDescent="0.25">
      <c r="B2981" s="23"/>
      <c r="C2981" s="2" t="s">
        <v>661</v>
      </c>
      <c r="D2981" s="45" t="s">
        <v>662</v>
      </c>
      <c r="E2981" s="46"/>
      <c r="F2981" s="46"/>
      <c r="G2981" s="46"/>
      <c r="H2981" s="46"/>
      <c r="I2981" s="47"/>
    </row>
    <row r="2982" spans="2:9" ht="19.899999999999999" customHeight="1" x14ac:dyDescent="0.25">
      <c r="B2982" s="23"/>
      <c r="C2982" s="2" t="s">
        <v>663</v>
      </c>
      <c r="D2982" s="45" t="s">
        <v>664</v>
      </c>
      <c r="E2982" s="46"/>
      <c r="F2982" s="46"/>
      <c r="G2982" s="46"/>
      <c r="H2982" s="46"/>
      <c r="I2982" s="47"/>
    </row>
    <row r="2983" spans="2:9" x14ac:dyDescent="0.25">
      <c r="B2983" s="23"/>
      <c r="I2983" s="26"/>
    </row>
    <row r="2984" spans="2:9" x14ac:dyDescent="0.25">
      <c r="B2984" s="23"/>
      <c r="C2984" s="55" t="s">
        <v>60</v>
      </c>
      <c r="D2984" s="46"/>
      <c r="E2984" s="46"/>
      <c r="F2984" s="46"/>
      <c r="G2984" s="46"/>
      <c r="H2984" s="46"/>
      <c r="I2984" s="47"/>
    </row>
    <row r="2985" spans="2:9" x14ac:dyDescent="0.25">
      <c r="B2985" s="23"/>
      <c r="C2985" s="67" t="str">
        <f>HYPERLINK("#'Json-dokumentation'!B3038", "Fotnot: (*), (**)")</f>
        <v>Fotnot: (*), (**)</v>
      </c>
      <c r="D2985" s="46"/>
      <c r="E2985" s="46"/>
      <c r="F2985" s="46"/>
      <c r="G2985" s="46"/>
      <c r="H2985" s="46"/>
      <c r="I2985" s="47"/>
    </row>
    <row r="2986" spans="2:9" x14ac:dyDescent="0.25">
      <c r="B2986" s="23"/>
      <c r="I2986" s="26"/>
    </row>
    <row r="2987" spans="2:9" ht="19.899999999999999" customHeight="1" x14ac:dyDescent="0.25">
      <c r="B2987" s="24" t="s">
        <v>665</v>
      </c>
      <c r="C2987" s="18" t="s">
        <v>49</v>
      </c>
      <c r="D2987" s="52" t="s">
        <v>666</v>
      </c>
      <c r="E2987" s="53"/>
      <c r="F2987" s="53"/>
      <c r="G2987" s="53"/>
      <c r="H2987" s="53"/>
      <c r="I2987" s="54"/>
    </row>
    <row r="2988" spans="2:9" ht="19.899999999999999" customHeight="1" x14ac:dyDescent="0.25">
      <c r="B2988" s="23"/>
      <c r="C2988" s="2" t="s">
        <v>657</v>
      </c>
      <c r="D2988" s="45" t="s">
        <v>667</v>
      </c>
      <c r="E2988" s="46"/>
      <c r="F2988" s="46"/>
      <c r="G2988" s="46"/>
      <c r="H2988" s="46"/>
      <c r="I2988" s="47"/>
    </row>
    <row r="2989" spans="2:9" ht="19.899999999999999" customHeight="1" x14ac:dyDescent="0.25">
      <c r="B2989" s="23"/>
      <c r="C2989" s="2" t="s">
        <v>659</v>
      </c>
      <c r="D2989" s="45" t="s">
        <v>668</v>
      </c>
      <c r="E2989" s="46"/>
      <c r="F2989" s="46"/>
      <c r="G2989" s="46"/>
      <c r="H2989" s="46"/>
      <c r="I2989" s="47"/>
    </row>
    <row r="2990" spans="2:9" ht="19.899999999999999" customHeight="1" x14ac:dyDescent="0.25">
      <c r="B2990" s="23"/>
      <c r="C2990" s="2" t="s">
        <v>661</v>
      </c>
      <c r="D2990" s="45" t="s">
        <v>669</v>
      </c>
      <c r="E2990" s="46"/>
      <c r="F2990" s="46"/>
      <c r="G2990" s="46"/>
      <c r="H2990" s="46"/>
      <c r="I2990" s="47"/>
    </row>
    <row r="2991" spans="2:9" ht="19.899999999999999" customHeight="1" x14ac:dyDescent="0.25">
      <c r="B2991" s="23"/>
      <c r="C2991" s="2" t="s">
        <v>663</v>
      </c>
      <c r="D2991" s="45" t="s">
        <v>670</v>
      </c>
      <c r="E2991" s="46"/>
      <c r="F2991" s="46"/>
      <c r="G2991" s="46"/>
      <c r="H2991" s="46"/>
      <c r="I2991" s="47"/>
    </row>
    <row r="2992" spans="2:9" ht="19.899999999999999" customHeight="1" x14ac:dyDescent="0.25">
      <c r="B2992" s="23"/>
      <c r="C2992" s="2" t="s">
        <v>671</v>
      </c>
      <c r="D2992" s="45" t="s">
        <v>672</v>
      </c>
      <c r="E2992" s="46"/>
      <c r="F2992" s="46"/>
      <c r="G2992" s="46"/>
      <c r="H2992" s="46"/>
      <c r="I2992" s="47"/>
    </row>
    <row r="2993" spans="2:9" x14ac:dyDescent="0.25">
      <c r="B2993" s="23"/>
      <c r="I2993" s="26"/>
    </row>
    <row r="2994" spans="2:9" x14ac:dyDescent="0.25">
      <c r="B2994" s="23"/>
      <c r="C2994" s="55" t="s">
        <v>60</v>
      </c>
      <c r="D2994" s="46"/>
      <c r="E2994" s="46"/>
      <c r="F2994" s="46"/>
      <c r="G2994" s="46"/>
      <c r="H2994" s="46"/>
      <c r="I2994" s="47"/>
    </row>
    <row r="2995" spans="2:9" x14ac:dyDescent="0.25">
      <c r="B2995" s="23"/>
      <c r="C2995" s="67" t="str">
        <f>HYPERLINK("#'Json-dokumentation'!B3038", "Fotnot: (*), (**)")</f>
        <v>Fotnot: (*), (**)</v>
      </c>
      <c r="D2995" s="46"/>
      <c r="E2995" s="46"/>
      <c r="F2995" s="46"/>
      <c r="G2995" s="46"/>
      <c r="H2995" s="46"/>
      <c r="I2995" s="47"/>
    </row>
    <row r="2996" spans="2:9" x14ac:dyDescent="0.25">
      <c r="B2996" s="23"/>
      <c r="I2996" s="26"/>
    </row>
    <row r="2997" spans="2:9" ht="19.899999999999999" customHeight="1" x14ac:dyDescent="0.25">
      <c r="B2997" s="24" t="s">
        <v>673</v>
      </c>
      <c r="C2997" s="18" t="s">
        <v>49</v>
      </c>
      <c r="D2997" s="52" t="s">
        <v>674</v>
      </c>
      <c r="E2997" s="53"/>
      <c r="F2997" s="53"/>
      <c r="G2997" s="53"/>
      <c r="H2997" s="53"/>
      <c r="I2997" s="54"/>
    </row>
    <row r="2998" spans="2:9" ht="19.899999999999999" customHeight="1" x14ac:dyDescent="0.25">
      <c r="B2998" s="23"/>
      <c r="C2998" s="2" t="s">
        <v>657</v>
      </c>
      <c r="D2998" s="45" t="s">
        <v>675</v>
      </c>
      <c r="E2998" s="46"/>
      <c r="F2998" s="46"/>
      <c r="G2998" s="46"/>
      <c r="H2998" s="46"/>
      <c r="I2998" s="47"/>
    </row>
    <row r="2999" spans="2:9" ht="19.899999999999999" customHeight="1" x14ac:dyDescent="0.25">
      <c r="B2999" s="23"/>
      <c r="C2999" s="2" t="s">
        <v>659</v>
      </c>
      <c r="D2999" s="45" t="s">
        <v>676</v>
      </c>
      <c r="E2999" s="46"/>
      <c r="F2999" s="46"/>
      <c r="G2999" s="46"/>
      <c r="H2999" s="46"/>
      <c r="I2999" s="47"/>
    </row>
    <row r="3000" spans="2:9" ht="19.899999999999999" customHeight="1" x14ac:dyDescent="0.25">
      <c r="B3000" s="23"/>
      <c r="C3000" s="2" t="s">
        <v>661</v>
      </c>
      <c r="D3000" s="45" t="s">
        <v>677</v>
      </c>
      <c r="E3000" s="46"/>
      <c r="F3000" s="46"/>
      <c r="G3000" s="46"/>
      <c r="H3000" s="46"/>
      <c r="I3000" s="47"/>
    </row>
    <row r="3001" spans="2:9" ht="34.35" customHeight="1" x14ac:dyDescent="0.25">
      <c r="B3001" s="23"/>
      <c r="C3001" s="2" t="s">
        <v>663</v>
      </c>
      <c r="D3001" s="45" t="s">
        <v>678</v>
      </c>
      <c r="E3001" s="46"/>
      <c r="F3001" s="46"/>
      <c r="G3001" s="46"/>
      <c r="H3001" s="46"/>
      <c r="I3001" s="47"/>
    </row>
    <row r="3002" spans="2:9" ht="19.899999999999999" customHeight="1" x14ac:dyDescent="0.25">
      <c r="B3002" s="23"/>
      <c r="C3002" s="2" t="s">
        <v>671</v>
      </c>
      <c r="D3002" s="45" t="s">
        <v>679</v>
      </c>
      <c r="E3002" s="46"/>
      <c r="F3002" s="46"/>
      <c r="G3002" s="46"/>
      <c r="H3002" s="46"/>
      <c r="I3002" s="47"/>
    </row>
    <row r="3003" spans="2:9" ht="19.899999999999999" customHeight="1" x14ac:dyDescent="0.25">
      <c r="B3003" s="23"/>
      <c r="C3003" s="2" t="s">
        <v>680</v>
      </c>
      <c r="D3003" s="45" t="s">
        <v>681</v>
      </c>
      <c r="E3003" s="46"/>
      <c r="F3003" s="46"/>
      <c r="G3003" s="46"/>
      <c r="H3003" s="46"/>
      <c r="I3003" s="47"/>
    </row>
    <row r="3004" spans="2:9" x14ac:dyDescent="0.25">
      <c r="B3004" s="23"/>
      <c r="I3004" s="26"/>
    </row>
    <row r="3005" spans="2:9" x14ac:dyDescent="0.25">
      <c r="B3005" s="23"/>
      <c r="C3005" s="55" t="s">
        <v>60</v>
      </c>
      <c r="D3005" s="46"/>
      <c r="E3005" s="46"/>
      <c r="F3005" s="46"/>
      <c r="G3005" s="46"/>
      <c r="H3005" s="46"/>
      <c r="I3005" s="47"/>
    </row>
    <row r="3006" spans="2:9" x14ac:dyDescent="0.25">
      <c r="B3006" s="23"/>
      <c r="C3006" s="67" t="str">
        <f>HYPERLINK("#'Json-dokumentation'!B3038", "Fotnot: (*), (**)")</f>
        <v>Fotnot: (*), (**)</v>
      </c>
      <c r="D3006" s="46"/>
      <c r="E3006" s="46"/>
      <c r="F3006" s="46"/>
      <c r="G3006" s="46"/>
      <c r="H3006" s="46"/>
      <c r="I3006" s="47"/>
    </row>
    <row r="3007" spans="2:9" x14ac:dyDescent="0.25">
      <c r="B3007" s="23"/>
      <c r="I3007" s="26"/>
    </row>
    <row r="3008" spans="2:9" ht="19.899999999999999" customHeight="1" x14ac:dyDescent="0.25">
      <c r="B3008" s="24" t="s">
        <v>682</v>
      </c>
      <c r="C3008" s="18" t="s">
        <v>49</v>
      </c>
      <c r="D3008" s="52" t="s">
        <v>683</v>
      </c>
      <c r="E3008" s="53"/>
      <c r="F3008" s="53"/>
      <c r="G3008" s="53"/>
      <c r="H3008" s="53"/>
      <c r="I3008" s="54"/>
    </row>
    <row r="3009" spans="2:9" ht="19.899999999999999" customHeight="1" x14ac:dyDescent="0.25">
      <c r="B3009" s="23"/>
      <c r="C3009" s="2" t="s">
        <v>657</v>
      </c>
      <c r="D3009" s="45" t="s">
        <v>684</v>
      </c>
      <c r="E3009" s="46"/>
      <c r="F3009" s="46"/>
      <c r="G3009" s="46"/>
      <c r="H3009" s="46"/>
      <c r="I3009" s="47"/>
    </row>
    <row r="3010" spans="2:9" ht="19.899999999999999" customHeight="1" x14ac:dyDescent="0.25">
      <c r="B3010" s="23"/>
      <c r="C3010" s="2" t="s">
        <v>659</v>
      </c>
      <c r="D3010" s="45" t="s">
        <v>685</v>
      </c>
      <c r="E3010" s="46"/>
      <c r="F3010" s="46"/>
      <c r="G3010" s="46"/>
      <c r="H3010" s="46"/>
      <c r="I3010" s="47"/>
    </row>
    <row r="3011" spans="2:9" ht="19.899999999999999" customHeight="1" x14ac:dyDescent="0.25">
      <c r="B3011" s="23"/>
      <c r="C3011" s="2" t="s">
        <v>661</v>
      </c>
      <c r="D3011" s="45" t="s">
        <v>686</v>
      </c>
      <c r="E3011" s="46"/>
      <c r="F3011" s="46"/>
      <c r="G3011" s="46"/>
      <c r="H3011" s="46"/>
      <c r="I3011" s="47"/>
    </row>
    <row r="3012" spans="2:9" ht="19.899999999999999" customHeight="1" x14ac:dyDescent="0.25">
      <c r="B3012" s="23"/>
      <c r="C3012" s="2" t="s">
        <v>663</v>
      </c>
      <c r="D3012" s="45" t="s">
        <v>687</v>
      </c>
      <c r="E3012" s="46"/>
      <c r="F3012" s="46"/>
      <c r="G3012" s="46"/>
      <c r="H3012" s="46"/>
      <c r="I3012" s="47"/>
    </row>
    <row r="3013" spans="2:9" ht="19.899999999999999" customHeight="1" x14ac:dyDescent="0.25">
      <c r="B3013" s="23"/>
      <c r="C3013" s="2" t="s">
        <v>671</v>
      </c>
      <c r="D3013" s="45" t="s">
        <v>688</v>
      </c>
      <c r="E3013" s="46"/>
      <c r="F3013" s="46"/>
      <c r="G3013" s="46"/>
      <c r="H3013" s="46"/>
      <c r="I3013" s="47"/>
    </row>
    <row r="3014" spans="2:9" ht="19.899999999999999" customHeight="1" x14ac:dyDescent="0.25">
      <c r="B3014" s="23"/>
      <c r="C3014" s="2" t="s">
        <v>680</v>
      </c>
      <c r="D3014" s="45" t="s">
        <v>689</v>
      </c>
      <c r="E3014" s="46"/>
      <c r="F3014" s="46"/>
      <c r="G3014" s="46"/>
      <c r="H3014" s="46"/>
      <c r="I3014" s="47"/>
    </row>
    <row r="3015" spans="2:9" ht="19.899999999999999" customHeight="1" x14ac:dyDescent="0.25">
      <c r="B3015" s="23"/>
      <c r="C3015" s="2" t="s">
        <v>690</v>
      </c>
      <c r="D3015" s="45" t="s">
        <v>691</v>
      </c>
      <c r="E3015" s="46"/>
      <c r="F3015" s="46"/>
      <c r="G3015" s="46"/>
      <c r="H3015" s="46"/>
      <c r="I3015" s="47"/>
    </row>
    <row r="3016" spans="2:9" ht="19.899999999999999" customHeight="1" x14ac:dyDescent="0.25">
      <c r="B3016" s="23"/>
      <c r="C3016" s="2" t="s">
        <v>692</v>
      </c>
      <c r="D3016" s="45" t="s">
        <v>693</v>
      </c>
      <c r="E3016" s="46"/>
      <c r="F3016" s="46"/>
      <c r="G3016" s="46"/>
      <c r="H3016" s="46"/>
      <c r="I3016" s="47"/>
    </row>
    <row r="3017" spans="2:9" x14ac:dyDescent="0.25">
      <c r="B3017" s="23"/>
      <c r="I3017" s="26"/>
    </row>
    <row r="3018" spans="2:9" x14ac:dyDescent="0.25">
      <c r="B3018" s="23"/>
      <c r="C3018" s="55" t="s">
        <v>60</v>
      </c>
      <c r="D3018" s="46"/>
      <c r="E3018" s="46"/>
      <c r="F3018" s="46"/>
      <c r="G3018" s="46"/>
      <c r="H3018" s="46"/>
      <c r="I3018" s="47"/>
    </row>
    <row r="3019" spans="2:9" x14ac:dyDescent="0.25">
      <c r="B3019" s="23"/>
      <c r="C3019" s="67" t="str">
        <f>HYPERLINK("#'Json-dokumentation'!B3038", "Fotnot: (*), (**)")</f>
        <v>Fotnot: (*), (**)</v>
      </c>
      <c r="D3019" s="46"/>
      <c r="E3019" s="46"/>
      <c r="F3019" s="46"/>
      <c r="G3019" s="46"/>
      <c r="H3019" s="46"/>
      <c r="I3019" s="47"/>
    </row>
    <row r="3020" spans="2:9" x14ac:dyDescent="0.25">
      <c r="B3020" s="23"/>
      <c r="I3020" s="26"/>
    </row>
    <row r="3021" spans="2:9" ht="19.899999999999999" customHeight="1" x14ac:dyDescent="0.25">
      <c r="B3021" s="64" t="s">
        <v>999</v>
      </c>
      <c r="C3021" s="65"/>
      <c r="D3021" s="65"/>
      <c r="E3021" s="65"/>
      <c r="F3021" s="65"/>
      <c r="G3021" s="65"/>
      <c r="H3021" s="65"/>
      <c r="I3021" s="66"/>
    </row>
    <row r="3022" spans="2:9" ht="19.899999999999999" customHeight="1" x14ac:dyDescent="0.25">
      <c r="B3022" s="35" t="s">
        <v>703</v>
      </c>
      <c r="C3022" s="33" t="s">
        <v>182</v>
      </c>
      <c r="D3022" s="45" t="s">
        <v>704</v>
      </c>
      <c r="E3022" s="46"/>
      <c r="F3022" s="46"/>
      <c r="G3022" s="46"/>
      <c r="H3022" s="46"/>
      <c r="I3022" s="47"/>
    </row>
    <row r="3023" spans="2:9" x14ac:dyDescent="0.25">
      <c r="B3023" s="23"/>
      <c r="C3023" s="2" t="s">
        <v>705</v>
      </c>
      <c r="I3023" s="26"/>
    </row>
    <row r="3024" spans="2:9" x14ac:dyDescent="0.25">
      <c r="B3024" s="23"/>
      <c r="C3024" s="2" t="s">
        <v>698</v>
      </c>
      <c r="I3024" s="26"/>
    </row>
    <row r="3025" spans="2:9" x14ac:dyDescent="0.25">
      <c r="B3025" s="23"/>
      <c r="I3025" s="26"/>
    </row>
    <row r="3026" spans="2:9" x14ac:dyDescent="0.25">
      <c r="B3026" s="23"/>
      <c r="C3026" s="55" t="s">
        <v>60</v>
      </c>
      <c r="D3026" s="46"/>
      <c r="E3026" s="46"/>
      <c r="F3026" s="46"/>
      <c r="G3026" s="46"/>
      <c r="H3026" s="46"/>
      <c r="I3026" s="47"/>
    </row>
    <row r="3027" spans="2:9" x14ac:dyDescent="0.25">
      <c r="B3027" s="23"/>
      <c r="C3027" s="67" t="str">
        <f>HYPERLINK("#'Json-dokumentation'!B3038", "Fotnot: (*), (**)")</f>
        <v>Fotnot: (*), (**)</v>
      </c>
      <c r="D3027" s="46"/>
      <c r="E3027" s="46"/>
      <c r="F3027" s="46"/>
      <c r="G3027" s="46"/>
      <c r="H3027" s="46"/>
      <c r="I3027" s="47"/>
    </row>
    <row r="3028" spans="2:9" x14ac:dyDescent="0.25">
      <c r="B3028" s="23"/>
      <c r="I3028" s="26"/>
    </row>
    <row r="3029" spans="2:9" ht="19.899999999999999" customHeight="1" x14ac:dyDescent="0.25">
      <c r="B3029" s="24" t="s">
        <v>1000</v>
      </c>
      <c r="C3029" s="19" t="s">
        <v>182</v>
      </c>
      <c r="D3029" s="52" t="s">
        <v>1001</v>
      </c>
      <c r="E3029" s="53"/>
      <c r="F3029" s="53"/>
      <c r="G3029" s="53"/>
      <c r="H3029" s="53"/>
      <c r="I3029" s="54"/>
    </row>
    <row r="3030" spans="2:9" x14ac:dyDescent="0.25">
      <c r="B3030" s="23"/>
      <c r="C3030" s="2" t="s">
        <v>1002</v>
      </c>
      <c r="I3030" s="26"/>
    </row>
    <row r="3031" spans="2:9" x14ac:dyDescent="0.25">
      <c r="B3031" s="23"/>
      <c r="C3031" s="2" t="s">
        <v>1003</v>
      </c>
      <c r="I3031" s="26"/>
    </row>
    <row r="3032" spans="2:9" x14ac:dyDescent="0.25">
      <c r="B3032" s="23"/>
      <c r="I3032" s="26"/>
    </row>
    <row r="3033" spans="2:9" x14ac:dyDescent="0.25">
      <c r="B3033" s="23"/>
      <c r="C3033" s="55" t="s">
        <v>60</v>
      </c>
      <c r="D3033" s="46"/>
      <c r="E3033" s="46"/>
      <c r="F3033" s="46"/>
      <c r="G3033" s="46"/>
      <c r="H3033" s="46"/>
      <c r="I3033" s="47"/>
    </row>
    <row r="3034" spans="2:9" x14ac:dyDescent="0.25">
      <c r="B3034" s="23"/>
      <c r="C3034" s="67" t="str">
        <f>HYPERLINK("#'Json-dokumentation'!B3038", "Fotnot: (*), (**)")</f>
        <v>Fotnot: (*), (**)</v>
      </c>
      <c r="D3034" s="46"/>
      <c r="E3034" s="46"/>
      <c r="F3034" s="46"/>
      <c r="G3034" s="46"/>
      <c r="H3034" s="46"/>
      <c r="I3034" s="47"/>
    </row>
    <row r="3035" spans="2:9" x14ac:dyDescent="0.25">
      <c r="B3035" s="25"/>
      <c r="C3035" s="21"/>
      <c r="D3035" s="21"/>
      <c r="E3035" s="21"/>
      <c r="F3035" s="21"/>
      <c r="G3035" s="21"/>
      <c r="H3035" s="21"/>
      <c r="I3035" s="27"/>
    </row>
    <row r="3037" spans="2:9" x14ac:dyDescent="0.25">
      <c r="B3037" s="3" t="s">
        <v>734</v>
      </c>
    </row>
    <row r="3038" spans="2:9" ht="19.899999999999999" customHeight="1" x14ac:dyDescent="0.25">
      <c r="B3038" s="36" t="s">
        <v>1004</v>
      </c>
      <c r="C3038" s="56" t="s">
        <v>1005</v>
      </c>
      <c r="D3038" s="57"/>
      <c r="E3038" s="57"/>
      <c r="F3038" s="57"/>
      <c r="G3038" s="57"/>
      <c r="H3038" s="57"/>
      <c r="I3038" s="58"/>
    </row>
    <row r="3042" spans="1:9" ht="48.95" customHeight="1" x14ac:dyDescent="0.25">
      <c r="A3042" s="45" t="s">
        <v>34</v>
      </c>
      <c r="B3042" s="46"/>
      <c r="C3042" s="46"/>
      <c r="D3042" s="46"/>
      <c r="E3042" s="46"/>
      <c r="F3042" s="46"/>
      <c r="G3042" s="46"/>
      <c r="H3042" s="46"/>
      <c r="I3042" s="46"/>
    </row>
    <row r="3043" spans="1:9" ht="18.75" x14ac:dyDescent="0.25">
      <c r="A3043" s="16" t="s">
        <v>2281</v>
      </c>
      <c r="B3043" s="3" t="s">
        <v>47</v>
      </c>
    </row>
    <row r="3044" spans="1:9" ht="19.899999999999999" customHeight="1" x14ac:dyDescent="0.25">
      <c r="B3044" s="22" t="s">
        <v>2282</v>
      </c>
      <c r="C3044" s="32" t="s">
        <v>220</v>
      </c>
      <c r="D3044" s="42" t="s">
        <v>2283</v>
      </c>
      <c r="E3044" s="43"/>
      <c r="F3044" s="43"/>
      <c r="G3044" s="43"/>
      <c r="H3044" s="43"/>
      <c r="I3044" s="44"/>
    </row>
    <row r="3045" spans="1:9" x14ac:dyDescent="0.25">
      <c r="B3045" s="23"/>
      <c r="C3045" s="2" t="s">
        <v>222</v>
      </c>
      <c r="I3045" s="26"/>
    </row>
    <row r="3046" spans="1:9" x14ac:dyDescent="0.25">
      <c r="B3046" s="23"/>
      <c r="I3046" s="26"/>
    </row>
    <row r="3047" spans="1:9" x14ac:dyDescent="0.25">
      <c r="B3047" s="23"/>
      <c r="C3047" s="51" t="s">
        <v>55</v>
      </c>
      <c r="D3047" s="46"/>
      <c r="E3047" s="46"/>
      <c r="F3047" s="46"/>
      <c r="G3047" s="46"/>
      <c r="H3047" s="46"/>
      <c r="I3047" s="47"/>
    </row>
    <row r="3048" spans="1:9" x14ac:dyDescent="0.25">
      <c r="B3048" s="23"/>
      <c r="I3048" s="26"/>
    </row>
    <row r="3049" spans="1:9" ht="48.95" customHeight="1" x14ac:dyDescent="0.25">
      <c r="B3049" s="24" t="s">
        <v>2284</v>
      </c>
      <c r="C3049" s="19" t="str">
        <f>HYPERLINK("#'Json-dokumentation'!A3288", "Element av typen 'DonatorInställningKänd2009'")</f>
        <v>Element av typen 'DonatorInställningKänd2009'</v>
      </c>
      <c r="D3049" s="52" t="s">
        <v>2285</v>
      </c>
      <c r="E3049" s="53"/>
      <c r="F3049" s="53"/>
      <c r="G3049" s="53"/>
      <c r="H3049" s="53"/>
      <c r="I3049" s="54"/>
    </row>
    <row r="3050" spans="1:9" x14ac:dyDescent="0.25">
      <c r="B3050" s="23"/>
      <c r="C3050" s="55" t="s">
        <v>60</v>
      </c>
      <c r="D3050" s="46"/>
      <c r="E3050" s="46"/>
      <c r="F3050" s="46"/>
      <c r="G3050" s="46"/>
      <c r="H3050" s="46"/>
      <c r="I3050" s="47"/>
    </row>
    <row r="3051" spans="1:9" x14ac:dyDescent="0.25">
      <c r="B3051" s="23"/>
      <c r="I3051" s="26"/>
    </row>
    <row r="3052" spans="1:9" ht="19.899999999999999" customHeight="1" x14ac:dyDescent="0.25">
      <c r="B3052" s="24" t="s">
        <v>2286</v>
      </c>
      <c r="C3052" s="18" t="s">
        <v>49</v>
      </c>
      <c r="D3052" s="52" t="s">
        <v>2287</v>
      </c>
      <c r="E3052" s="53"/>
      <c r="F3052" s="53"/>
      <c r="G3052" s="53"/>
      <c r="H3052" s="53"/>
      <c r="I3052" s="54"/>
    </row>
    <row r="3053" spans="1:9" ht="34.35" customHeight="1" x14ac:dyDescent="0.25">
      <c r="B3053" s="23"/>
      <c r="C3053" s="2" t="s">
        <v>1269</v>
      </c>
      <c r="D3053" s="45" t="s">
        <v>2288</v>
      </c>
      <c r="E3053" s="46"/>
      <c r="F3053" s="46"/>
      <c r="G3053" s="46"/>
      <c r="H3053" s="46"/>
      <c r="I3053" s="47"/>
    </row>
    <row r="3054" spans="1:9" ht="19.899999999999999" customHeight="1" x14ac:dyDescent="0.25">
      <c r="B3054" s="23"/>
      <c r="C3054" s="2" t="s">
        <v>1271</v>
      </c>
      <c r="D3054" s="45" t="s">
        <v>2289</v>
      </c>
      <c r="E3054" s="46"/>
      <c r="F3054" s="46"/>
      <c r="G3054" s="46"/>
      <c r="H3054" s="46"/>
      <c r="I3054" s="47"/>
    </row>
    <row r="3055" spans="1:9" ht="19.899999999999999" customHeight="1" x14ac:dyDescent="0.25">
      <c r="B3055" s="23"/>
      <c r="C3055" s="2" t="s">
        <v>2290</v>
      </c>
      <c r="D3055" s="45" t="s">
        <v>2291</v>
      </c>
      <c r="E3055" s="46"/>
      <c r="F3055" s="46"/>
      <c r="G3055" s="46"/>
      <c r="H3055" s="46"/>
      <c r="I3055" s="47"/>
    </row>
    <row r="3056" spans="1:9" ht="19.899999999999999" customHeight="1" x14ac:dyDescent="0.25">
      <c r="B3056" s="23"/>
      <c r="C3056" s="2" t="s">
        <v>1273</v>
      </c>
      <c r="D3056" s="45" t="s">
        <v>2292</v>
      </c>
      <c r="E3056" s="46"/>
      <c r="F3056" s="46"/>
      <c r="G3056" s="46"/>
      <c r="H3056" s="46"/>
      <c r="I3056" s="47"/>
    </row>
    <row r="3057" spans="1:9" ht="19.899999999999999" customHeight="1" x14ac:dyDescent="0.25">
      <c r="B3057" s="23"/>
      <c r="C3057" s="2" t="s">
        <v>1275</v>
      </c>
      <c r="D3057" s="45" t="s">
        <v>2293</v>
      </c>
      <c r="E3057" s="46"/>
      <c r="F3057" s="46"/>
      <c r="G3057" s="46"/>
      <c r="H3057" s="46"/>
      <c r="I3057" s="47"/>
    </row>
    <row r="3058" spans="1:9" ht="19.899999999999999" customHeight="1" x14ac:dyDescent="0.25">
      <c r="B3058" s="23"/>
      <c r="C3058" s="2" t="s">
        <v>1277</v>
      </c>
      <c r="D3058" s="45" t="s">
        <v>2294</v>
      </c>
      <c r="E3058" s="46"/>
      <c r="F3058" s="46"/>
      <c r="G3058" s="46"/>
      <c r="H3058" s="46"/>
      <c r="I3058" s="47"/>
    </row>
    <row r="3059" spans="1:9" x14ac:dyDescent="0.25">
      <c r="B3059" s="23"/>
      <c r="I3059" s="26"/>
    </row>
    <row r="3060" spans="1:9" x14ac:dyDescent="0.25">
      <c r="B3060" s="23"/>
      <c r="C3060" s="55" t="s">
        <v>60</v>
      </c>
      <c r="D3060" s="46"/>
      <c r="E3060" s="46"/>
      <c r="F3060" s="46"/>
      <c r="G3060" s="46"/>
      <c r="H3060" s="46"/>
      <c r="I3060" s="47"/>
    </row>
    <row r="3061" spans="1:9" x14ac:dyDescent="0.25">
      <c r="B3061" s="25"/>
      <c r="C3061" s="21"/>
      <c r="D3061" s="21"/>
      <c r="E3061" s="21"/>
      <c r="F3061" s="21"/>
      <c r="G3061" s="21"/>
      <c r="H3061" s="21"/>
      <c r="I3061" s="27"/>
    </row>
    <row r="3065" spans="1:9" ht="19.899999999999999" customHeight="1" x14ac:dyDescent="0.25">
      <c r="A3065" s="45" t="s">
        <v>35</v>
      </c>
      <c r="B3065" s="46"/>
      <c r="C3065" s="46"/>
      <c r="D3065" s="46"/>
      <c r="E3065" s="46"/>
      <c r="F3065" s="46"/>
      <c r="G3065" s="46"/>
      <c r="H3065" s="46"/>
      <c r="I3065" s="46"/>
    </row>
    <row r="3066" spans="1:9" ht="18.75" x14ac:dyDescent="0.25">
      <c r="A3066" s="16" t="s">
        <v>2295</v>
      </c>
      <c r="B3066" s="3" t="s">
        <v>47</v>
      </c>
    </row>
    <row r="3067" spans="1:9" ht="19.899999999999999" customHeight="1" x14ac:dyDescent="0.25">
      <c r="B3067" s="22" t="s">
        <v>2296</v>
      </c>
      <c r="C3067" s="32" t="s">
        <v>220</v>
      </c>
      <c r="D3067" s="42" t="s">
        <v>35</v>
      </c>
      <c r="E3067" s="43"/>
      <c r="F3067" s="43"/>
      <c r="G3067" s="43"/>
      <c r="H3067" s="43"/>
      <c r="I3067" s="44"/>
    </row>
    <row r="3068" spans="1:9" x14ac:dyDescent="0.25">
      <c r="B3068" s="23"/>
      <c r="C3068" s="2" t="s">
        <v>222</v>
      </c>
      <c r="I3068" s="26"/>
    </row>
    <row r="3069" spans="1:9" x14ac:dyDescent="0.25">
      <c r="B3069" s="23"/>
      <c r="I3069" s="26"/>
    </row>
    <row r="3070" spans="1:9" x14ac:dyDescent="0.25">
      <c r="B3070" s="23"/>
      <c r="C3070" s="51" t="s">
        <v>55</v>
      </c>
      <c r="D3070" s="46"/>
      <c r="E3070" s="46"/>
      <c r="F3070" s="46"/>
      <c r="G3070" s="46"/>
      <c r="H3070" s="46"/>
      <c r="I3070" s="47"/>
    </row>
    <row r="3071" spans="1:9" x14ac:dyDescent="0.25">
      <c r="B3071" s="23"/>
      <c r="I3071" s="26"/>
    </row>
    <row r="3072" spans="1:9" ht="92.25" customHeight="1" x14ac:dyDescent="0.25">
      <c r="B3072" s="24" t="s">
        <v>2297</v>
      </c>
      <c r="C3072" s="18" t="s">
        <v>2298</v>
      </c>
      <c r="D3072" s="52" t="s">
        <v>2299</v>
      </c>
      <c r="E3072" s="53"/>
      <c r="F3072" s="53"/>
      <c r="G3072" s="53"/>
      <c r="H3072" s="53"/>
      <c r="I3072" s="54"/>
    </row>
    <row r="3073" spans="1:9" ht="19.899999999999999" customHeight="1" x14ac:dyDescent="0.25">
      <c r="B3073" s="23"/>
      <c r="C3073" s="2" t="s">
        <v>1429</v>
      </c>
      <c r="D3073" s="45" t="s">
        <v>2300</v>
      </c>
      <c r="E3073" s="46"/>
      <c r="F3073" s="46"/>
      <c r="G3073" s="46"/>
      <c r="H3073" s="46"/>
      <c r="I3073" s="47"/>
    </row>
    <row r="3074" spans="1:9" ht="34.35" customHeight="1" x14ac:dyDescent="0.25">
      <c r="B3074" s="23"/>
      <c r="C3074" s="2" t="s">
        <v>2301</v>
      </c>
      <c r="D3074" s="45" t="s">
        <v>2302</v>
      </c>
      <c r="E3074" s="46"/>
      <c r="F3074" s="46"/>
      <c r="G3074" s="46"/>
      <c r="H3074" s="46"/>
      <c r="I3074" s="47"/>
    </row>
    <row r="3075" spans="1:9" ht="34.35" customHeight="1" x14ac:dyDescent="0.25">
      <c r="B3075" s="23"/>
      <c r="C3075" s="2" t="s">
        <v>2303</v>
      </c>
      <c r="D3075" s="45" t="s">
        <v>2304</v>
      </c>
      <c r="E3075" s="46"/>
      <c r="F3075" s="46"/>
      <c r="G3075" s="46"/>
      <c r="H3075" s="46"/>
      <c r="I3075" s="47"/>
    </row>
    <row r="3076" spans="1:9" ht="19.899999999999999" customHeight="1" x14ac:dyDescent="0.25">
      <c r="B3076" s="23"/>
      <c r="C3076" s="2" t="s">
        <v>2305</v>
      </c>
      <c r="D3076" s="45" t="s">
        <v>2306</v>
      </c>
      <c r="E3076" s="46"/>
      <c r="F3076" s="46"/>
      <c r="G3076" s="46"/>
      <c r="H3076" s="46"/>
      <c r="I3076" s="47"/>
    </row>
    <row r="3077" spans="1:9" ht="34.35" customHeight="1" x14ac:dyDescent="0.25">
      <c r="B3077" s="23"/>
      <c r="C3077" s="2" t="s">
        <v>2307</v>
      </c>
      <c r="D3077" s="45" t="s">
        <v>2308</v>
      </c>
      <c r="E3077" s="46"/>
      <c r="F3077" s="46"/>
      <c r="G3077" s="46"/>
      <c r="H3077" s="46"/>
      <c r="I3077" s="47"/>
    </row>
    <row r="3078" spans="1:9" ht="34.35" customHeight="1" x14ac:dyDescent="0.25">
      <c r="B3078" s="23"/>
      <c r="C3078" s="2" t="s">
        <v>1299</v>
      </c>
      <c r="D3078" s="45" t="s">
        <v>2309</v>
      </c>
      <c r="E3078" s="46"/>
      <c r="F3078" s="46"/>
      <c r="G3078" s="46"/>
      <c r="H3078" s="46"/>
      <c r="I3078" s="47"/>
    </row>
    <row r="3079" spans="1:9" ht="19.899999999999999" customHeight="1" x14ac:dyDescent="0.25">
      <c r="B3079" s="23"/>
      <c r="C3079" s="2" t="s">
        <v>2310</v>
      </c>
      <c r="D3079" s="45" t="s">
        <v>2311</v>
      </c>
      <c r="E3079" s="46"/>
      <c r="F3079" s="46"/>
      <c r="G3079" s="46"/>
      <c r="H3079" s="46"/>
      <c r="I3079" s="47"/>
    </row>
    <row r="3080" spans="1:9" x14ac:dyDescent="0.25">
      <c r="B3080" s="23"/>
      <c r="I3080" s="26"/>
    </row>
    <row r="3081" spans="1:9" x14ac:dyDescent="0.25">
      <c r="B3081" s="23"/>
      <c r="C3081" s="55" t="s">
        <v>60</v>
      </c>
      <c r="D3081" s="46"/>
      <c r="E3081" s="46"/>
      <c r="F3081" s="46"/>
      <c r="G3081" s="46"/>
      <c r="H3081" s="46"/>
      <c r="I3081" s="47"/>
    </row>
    <row r="3082" spans="1:9" x14ac:dyDescent="0.25">
      <c r="B3082" s="25"/>
      <c r="C3082" s="21"/>
      <c r="D3082" s="21"/>
      <c r="E3082" s="21"/>
      <c r="F3082" s="21"/>
      <c r="G3082" s="21"/>
      <c r="H3082" s="21"/>
      <c r="I3082" s="27"/>
    </row>
    <row r="3086" spans="1:9" ht="19.899999999999999" customHeight="1" x14ac:dyDescent="0.25">
      <c r="A3086" s="45" t="s">
        <v>36</v>
      </c>
      <c r="B3086" s="46"/>
      <c r="C3086" s="46"/>
      <c r="D3086" s="46"/>
      <c r="E3086" s="46"/>
      <c r="F3086" s="46"/>
      <c r="G3086" s="46"/>
      <c r="H3086" s="46"/>
      <c r="I3086" s="46"/>
    </row>
    <row r="3087" spans="1:9" ht="18.75" x14ac:dyDescent="0.25">
      <c r="A3087" s="16" t="s">
        <v>2312</v>
      </c>
      <c r="B3087" s="3" t="s">
        <v>47</v>
      </c>
    </row>
    <row r="3088" spans="1:9" ht="19.899999999999999" customHeight="1" x14ac:dyDescent="0.25">
      <c r="B3088" s="22" t="s">
        <v>2282</v>
      </c>
      <c r="C3088" s="32" t="s">
        <v>220</v>
      </c>
      <c r="D3088" s="42" t="s">
        <v>2313</v>
      </c>
      <c r="E3088" s="43"/>
      <c r="F3088" s="43"/>
      <c r="G3088" s="43"/>
      <c r="H3088" s="43"/>
      <c r="I3088" s="44"/>
    </row>
    <row r="3089" spans="2:9" x14ac:dyDescent="0.25">
      <c r="B3089" s="23"/>
      <c r="C3089" s="2" t="s">
        <v>222</v>
      </c>
      <c r="I3089" s="26"/>
    </row>
    <row r="3090" spans="2:9" x14ac:dyDescent="0.25">
      <c r="B3090" s="23"/>
      <c r="I3090" s="26"/>
    </row>
    <row r="3091" spans="2:9" x14ac:dyDescent="0.25">
      <c r="B3091" s="23"/>
      <c r="C3091" s="51" t="s">
        <v>55</v>
      </c>
      <c r="D3091" s="46"/>
      <c r="E3091" s="46"/>
      <c r="F3091" s="46"/>
      <c r="G3091" s="46"/>
      <c r="H3091" s="46"/>
      <c r="I3091" s="47"/>
    </row>
    <row r="3092" spans="2:9" x14ac:dyDescent="0.25">
      <c r="B3092" s="23"/>
      <c r="I3092" s="26"/>
    </row>
    <row r="3093" spans="2:9" ht="19.899999999999999" customHeight="1" x14ac:dyDescent="0.25">
      <c r="B3093" s="24" t="s">
        <v>2284</v>
      </c>
      <c r="C3093" s="19" t="str">
        <f>HYPERLINK("#'Json-dokumentation'!A3305", "Element av typen 'DonatorInställningKänd2016'")</f>
        <v>Element av typen 'DonatorInställningKänd2016'</v>
      </c>
      <c r="D3093" s="52" t="s">
        <v>2314</v>
      </c>
      <c r="E3093" s="53"/>
      <c r="F3093" s="53"/>
      <c r="G3093" s="53"/>
      <c r="H3093" s="53"/>
      <c r="I3093" s="54"/>
    </row>
    <row r="3094" spans="2:9" x14ac:dyDescent="0.25">
      <c r="B3094" s="23"/>
      <c r="C3094" s="55" t="s">
        <v>60</v>
      </c>
      <c r="D3094" s="46"/>
      <c r="E3094" s="46"/>
      <c r="F3094" s="46"/>
      <c r="G3094" s="46"/>
      <c r="H3094" s="46"/>
      <c r="I3094" s="47"/>
    </row>
    <row r="3095" spans="2:9" x14ac:dyDescent="0.25">
      <c r="B3095" s="23"/>
      <c r="I3095" s="26"/>
    </row>
    <row r="3096" spans="2:9" ht="48.95" customHeight="1" x14ac:dyDescent="0.25">
      <c r="B3096" s="24" t="s">
        <v>2286</v>
      </c>
      <c r="C3096" s="18" t="s">
        <v>49</v>
      </c>
      <c r="D3096" s="52" t="s">
        <v>2315</v>
      </c>
      <c r="E3096" s="53"/>
      <c r="F3096" s="53"/>
      <c r="G3096" s="53"/>
      <c r="H3096" s="53"/>
      <c r="I3096" s="54"/>
    </row>
    <row r="3097" spans="2:9" ht="34.35" customHeight="1" x14ac:dyDescent="0.25">
      <c r="B3097" s="23"/>
      <c r="C3097" s="2" t="s">
        <v>1269</v>
      </c>
      <c r="D3097" s="45" t="s">
        <v>2288</v>
      </c>
      <c r="E3097" s="46"/>
      <c r="F3097" s="46"/>
      <c r="G3097" s="46"/>
      <c r="H3097" s="46"/>
      <c r="I3097" s="47"/>
    </row>
    <row r="3098" spans="2:9" ht="19.899999999999999" customHeight="1" x14ac:dyDescent="0.25">
      <c r="B3098" s="23"/>
      <c r="C3098" s="2" t="s">
        <v>1271</v>
      </c>
      <c r="D3098" s="45" t="s">
        <v>2289</v>
      </c>
      <c r="E3098" s="46"/>
      <c r="F3098" s="46"/>
      <c r="G3098" s="46"/>
      <c r="H3098" s="46"/>
      <c r="I3098" s="47"/>
    </row>
    <row r="3099" spans="2:9" ht="19.899999999999999" customHeight="1" x14ac:dyDescent="0.25">
      <c r="B3099" s="23"/>
      <c r="C3099" s="2" t="s">
        <v>2290</v>
      </c>
      <c r="D3099" s="45" t="s">
        <v>2291</v>
      </c>
      <c r="E3099" s="46"/>
      <c r="F3099" s="46"/>
      <c r="G3099" s="46"/>
      <c r="H3099" s="46"/>
      <c r="I3099" s="47"/>
    </row>
    <row r="3100" spans="2:9" ht="19.899999999999999" customHeight="1" x14ac:dyDescent="0.25">
      <c r="B3100" s="23"/>
      <c r="C3100" s="2" t="s">
        <v>1273</v>
      </c>
      <c r="D3100" s="45" t="s">
        <v>2316</v>
      </c>
      <c r="E3100" s="46"/>
      <c r="F3100" s="46"/>
      <c r="G3100" s="46"/>
      <c r="H3100" s="46"/>
      <c r="I3100" s="47"/>
    </row>
    <row r="3101" spans="2:9" ht="19.899999999999999" customHeight="1" x14ac:dyDescent="0.25">
      <c r="B3101" s="23"/>
      <c r="C3101" s="2" t="s">
        <v>1275</v>
      </c>
      <c r="D3101" s="45" t="s">
        <v>2293</v>
      </c>
      <c r="E3101" s="46"/>
      <c r="F3101" s="46"/>
      <c r="G3101" s="46"/>
      <c r="H3101" s="46"/>
      <c r="I3101" s="47"/>
    </row>
    <row r="3102" spans="2:9" ht="19.899999999999999" customHeight="1" x14ac:dyDescent="0.25">
      <c r="B3102" s="23"/>
      <c r="C3102" s="2" t="s">
        <v>1277</v>
      </c>
      <c r="D3102" s="45" t="s">
        <v>2317</v>
      </c>
      <c r="E3102" s="46"/>
      <c r="F3102" s="46"/>
      <c r="G3102" s="46"/>
      <c r="H3102" s="46"/>
      <c r="I3102" s="47"/>
    </row>
    <row r="3103" spans="2:9" ht="19.899999999999999" customHeight="1" x14ac:dyDescent="0.25">
      <c r="B3103" s="23"/>
      <c r="C3103" s="2" t="s">
        <v>1060</v>
      </c>
      <c r="D3103" s="45" t="s">
        <v>2318</v>
      </c>
      <c r="E3103" s="46"/>
      <c r="F3103" s="46"/>
      <c r="G3103" s="46"/>
      <c r="H3103" s="46"/>
      <c r="I3103" s="47"/>
    </row>
    <row r="3104" spans="2:9" x14ac:dyDescent="0.25">
      <c r="B3104" s="23"/>
      <c r="I3104" s="26"/>
    </row>
    <row r="3105" spans="1:9" x14ac:dyDescent="0.25">
      <c r="B3105" s="23"/>
      <c r="C3105" s="55" t="s">
        <v>60</v>
      </c>
      <c r="D3105" s="46"/>
      <c r="E3105" s="46"/>
      <c r="F3105" s="46"/>
      <c r="G3105" s="46"/>
      <c r="H3105" s="46"/>
      <c r="I3105" s="47"/>
    </row>
    <row r="3106" spans="1:9" x14ac:dyDescent="0.25">
      <c r="B3106" s="23"/>
      <c r="I3106" s="26"/>
    </row>
    <row r="3107" spans="1:9" ht="19.899999999999999" customHeight="1" x14ac:dyDescent="0.25">
      <c r="B3107" s="24" t="s">
        <v>1084</v>
      </c>
      <c r="C3107" s="19" t="str">
        <f>HYPERLINK("#'Json-dokumentation'!A3322", "Element av typen 'BeslutadOrgandonation2016'")</f>
        <v>Element av typen 'BeslutadOrgandonation2016'</v>
      </c>
      <c r="D3107" s="52" t="s">
        <v>2319</v>
      </c>
      <c r="E3107" s="53"/>
      <c r="F3107" s="53"/>
      <c r="G3107" s="53"/>
      <c r="H3107" s="53"/>
      <c r="I3107" s="54"/>
    </row>
    <row r="3108" spans="1:9" x14ac:dyDescent="0.25">
      <c r="B3108" s="23"/>
      <c r="C3108" s="51" t="s">
        <v>55</v>
      </c>
      <c r="D3108" s="46"/>
      <c r="E3108" s="46"/>
      <c r="F3108" s="46"/>
      <c r="G3108" s="46"/>
      <c r="H3108" s="46"/>
      <c r="I3108" s="47"/>
    </row>
    <row r="3109" spans="1:9" x14ac:dyDescent="0.25">
      <c r="B3109" s="25"/>
      <c r="C3109" s="21"/>
      <c r="D3109" s="21"/>
      <c r="E3109" s="21"/>
      <c r="F3109" s="21"/>
      <c r="G3109" s="21"/>
      <c r="H3109" s="21"/>
      <c r="I3109" s="27"/>
    </row>
    <row r="3113" spans="1:9" ht="63.4" customHeight="1" x14ac:dyDescent="0.25">
      <c r="A3113" s="45" t="s">
        <v>37</v>
      </c>
      <c r="B3113" s="46"/>
      <c r="C3113" s="46"/>
      <c r="D3113" s="46"/>
      <c r="E3113" s="46"/>
      <c r="F3113" s="46"/>
      <c r="G3113" s="46"/>
      <c r="H3113" s="46"/>
      <c r="I3113" s="46"/>
    </row>
    <row r="3114" spans="1:9" ht="18.75" x14ac:dyDescent="0.25">
      <c r="A3114" s="16" t="s">
        <v>2320</v>
      </c>
      <c r="B3114" s="3" t="s">
        <v>47</v>
      </c>
    </row>
    <row r="3115" spans="1:9" ht="34.35" customHeight="1" x14ac:dyDescent="0.25">
      <c r="B3115" s="22" t="s">
        <v>958</v>
      </c>
      <c r="C3115" s="32" t="s">
        <v>213</v>
      </c>
      <c r="D3115" s="42" t="s">
        <v>2321</v>
      </c>
      <c r="E3115" s="43"/>
      <c r="F3115" s="43"/>
      <c r="G3115" s="43"/>
      <c r="H3115" s="43"/>
      <c r="I3115" s="44"/>
    </row>
    <row r="3116" spans="1:9" x14ac:dyDescent="0.25">
      <c r="B3116" s="23"/>
      <c r="I3116" s="26"/>
    </row>
    <row r="3117" spans="1:9" x14ac:dyDescent="0.25">
      <c r="B3117" s="23"/>
      <c r="C3117" s="51" t="s">
        <v>55</v>
      </c>
      <c r="D3117" s="46"/>
      <c r="E3117" s="46"/>
      <c r="F3117" s="46"/>
      <c r="G3117" s="46"/>
      <c r="H3117" s="46"/>
      <c r="I3117" s="47"/>
    </row>
    <row r="3118" spans="1:9" x14ac:dyDescent="0.25">
      <c r="B3118" s="23"/>
      <c r="I3118" s="26"/>
    </row>
    <row r="3119" spans="1:9" ht="19.899999999999999" customHeight="1" x14ac:dyDescent="0.25">
      <c r="B3119" s="24" t="s">
        <v>757</v>
      </c>
      <c r="C3119" s="19" t="s">
        <v>695</v>
      </c>
      <c r="D3119" s="52" t="s">
        <v>2322</v>
      </c>
      <c r="E3119" s="53"/>
      <c r="F3119" s="53"/>
      <c r="G3119" s="53"/>
      <c r="H3119" s="53"/>
      <c r="I3119" s="54"/>
    </row>
    <row r="3120" spans="1:9" x14ac:dyDescent="0.25">
      <c r="B3120" s="23"/>
      <c r="C3120" s="2" t="s">
        <v>760</v>
      </c>
      <c r="I3120" s="26"/>
    </row>
    <row r="3121" spans="1:9" x14ac:dyDescent="0.25">
      <c r="B3121" s="23"/>
      <c r="I3121" s="26"/>
    </row>
    <row r="3122" spans="1:9" x14ac:dyDescent="0.25">
      <c r="B3122" s="23"/>
      <c r="C3122" s="51" t="s">
        <v>55</v>
      </c>
      <c r="D3122" s="46"/>
      <c r="E3122" s="46"/>
      <c r="F3122" s="46"/>
      <c r="G3122" s="46"/>
      <c r="H3122" s="46"/>
      <c r="I3122" s="47"/>
    </row>
    <row r="3123" spans="1:9" x14ac:dyDescent="0.25">
      <c r="B3123" s="25"/>
      <c r="C3123" s="21"/>
      <c r="D3123" s="21"/>
      <c r="E3123" s="21"/>
      <c r="F3123" s="21"/>
      <c r="G3123" s="21"/>
      <c r="H3123" s="21"/>
      <c r="I3123" s="27"/>
    </row>
    <row r="3127" spans="1:9" ht="19.899999999999999" customHeight="1" x14ac:dyDescent="0.25">
      <c r="A3127" s="45" t="s">
        <v>38</v>
      </c>
      <c r="B3127" s="46"/>
      <c r="C3127" s="46"/>
      <c r="D3127" s="46"/>
      <c r="E3127" s="46"/>
      <c r="F3127" s="46"/>
      <c r="G3127" s="46"/>
      <c r="H3127" s="46"/>
      <c r="I3127" s="46"/>
    </row>
    <row r="3128" spans="1:9" ht="18.75" x14ac:dyDescent="0.25">
      <c r="A3128" s="16" t="s">
        <v>2323</v>
      </c>
      <c r="B3128" s="3" t="s">
        <v>47</v>
      </c>
    </row>
    <row r="3129" spans="1:9" ht="19.899999999999999" customHeight="1" x14ac:dyDescent="0.25">
      <c r="B3129" s="22" t="s">
        <v>2324</v>
      </c>
      <c r="C3129" s="20" t="s">
        <v>49</v>
      </c>
      <c r="D3129" s="42" t="s">
        <v>2325</v>
      </c>
      <c r="E3129" s="43"/>
      <c r="F3129" s="43"/>
      <c r="G3129" s="43"/>
      <c r="H3129" s="43"/>
      <c r="I3129" s="44"/>
    </row>
    <row r="3130" spans="1:9" ht="19.899999999999999" customHeight="1" x14ac:dyDescent="0.25">
      <c r="B3130" s="23"/>
      <c r="C3130" s="2" t="s">
        <v>657</v>
      </c>
      <c r="D3130" s="45" t="s">
        <v>2326</v>
      </c>
      <c r="E3130" s="46"/>
      <c r="F3130" s="46"/>
      <c r="G3130" s="46"/>
      <c r="H3130" s="46"/>
      <c r="I3130" s="47"/>
    </row>
    <row r="3131" spans="1:9" ht="19.899999999999999" customHeight="1" x14ac:dyDescent="0.25">
      <c r="B3131" s="23"/>
      <c r="C3131" s="2" t="s">
        <v>659</v>
      </c>
      <c r="D3131" s="45" t="s">
        <v>2327</v>
      </c>
      <c r="E3131" s="46"/>
      <c r="F3131" s="46"/>
      <c r="G3131" s="46"/>
      <c r="H3131" s="46"/>
      <c r="I3131" s="47"/>
    </row>
    <row r="3132" spans="1:9" ht="19.899999999999999" customHeight="1" x14ac:dyDescent="0.25">
      <c r="B3132" s="23"/>
      <c r="C3132" s="2" t="s">
        <v>661</v>
      </c>
      <c r="D3132" s="45" t="s">
        <v>2328</v>
      </c>
      <c r="E3132" s="46"/>
      <c r="F3132" s="46"/>
      <c r="G3132" s="46"/>
      <c r="H3132" s="46"/>
      <c r="I3132" s="47"/>
    </row>
    <row r="3133" spans="1:9" ht="19.899999999999999" customHeight="1" x14ac:dyDescent="0.25">
      <c r="B3133" s="23"/>
      <c r="C3133" s="2" t="s">
        <v>663</v>
      </c>
      <c r="D3133" s="45" t="s">
        <v>2329</v>
      </c>
      <c r="E3133" s="46"/>
      <c r="F3133" s="46"/>
      <c r="G3133" s="46"/>
      <c r="H3133" s="46"/>
      <c r="I3133" s="47"/>
    </row>
    <row r="3134" spans="1:9" x14ac:dyDescent="0.25">
      <c r="B3134" s="23"/>
      <c r="I3134" s="26"/>
    </row>
    <row r="3135" spans="1:9" x14ac:dyDescent="0.25">
      <c r="B3135" s="23"/>
      <c r="C3135" s="51" t="s">
        <v>55</v>
      </c>
      <c r="D3135" s="46"/>
      <c r="E3135" s="46"/>
      <c r="F3135" s="46"/>
      <c r="G3135" s="46"/>
      <c r="H3135" s="46"/>
      <c r="I3135" s="47"/>
    </row>
    <row r="3136" spans="1:9" x14ac:dyDescent="0.25">
      <c r="B3136" s="23"/>
      <c r="I3136" s="26"/>
    </row>
    <row r="3137" spans="2:9" ht="19.899999999999999" customHeight="1" x14ac:dyDescent="0.25">
      <c r="B3137" s="24" t="s">
        <v>2330</v>
      </c>
      <c r="C3137" s="18" t="s">
        <v>49</v>
      </c>
      <c r="D3137" s="52" t="s">
        <v>2331</v>
      </c>
      <c r="E3137" s="53"/>
      <c r="F3137" s="53"/>
      <c r="G3137" s="53"/>
      <c r="H3137" s="53"/>
      <c r="I3137" s="54"/>
    </row>
    <row r="3138" spans="2:9" ht="19.899999999999999" customHeight="1" x14ac:dyDescent="0.25">
      <c r="B3138" s="23"/>
      <c r="C3138" s="2" t="s">
        <v>657</v>
      </c>
      <c r="D3138" s="45" t="s">
        <v>2332</v>
      </c>
      <c r="E3138" s="46"/>
      <c r="F3138" s="46"/>
      <c r="G3138" s="46"/>
      <c r="H3138" s="46"/>
      <c r="I3138" s="47"/>
    </row>
    <row r="3139" spans="2:9" ht="19.899999999999999" customHeight="1" x14ac:dyDescent="0.25">
      <c r="B3139" s="23"/>
      <c r="C3139" s="2" t="s">
        <v>659</v>
      </c>
      <c r="D3139" s="45" t="s">
        <v>2333</v>
      </c>
      <c r="E3139" s="46"/>
      <c r="F3139" s="46"/>
      <c r="G3139" s="46"/>
      <c r="H3139" s="46"/>
      <c r="I3139" s="47"/>
    </row>
    <row r="3140" spans="2:9" ht="19.899999999999999" customHeight="1" x14ac:dyDescent="0.25">
      <c r="B3140" s="23"/>
      <c r="C3140" s="2" t="s">
        <v>661</v>
      </c>
      <c r="D3140" s="45" t="s">
        <v>2334</v>
      </c>
      <c r="E3140" s="46"/>
      <c r="F3140" s="46"/>
      <c r="G3140" s="46"/>
      <c r="H3140" s="46"/>
      <c r="I3140" s="47"/>
    </row>
    <row r="3141" spans="2:9" ht="19.899999999999999" customHeight="1" x14ac:dyDescent="0.25">
      <c r="B3141" s="23"/>
      <c r="C3141" s="2" t="s">
        <v>663</v>
      </c>
      <c r="D3141" s="45" t="s">
        <v>2335</v>
      </c>
      <c r="E3141" s="46"/>
      <c r="F3141" s="46"/>
      <c r="G3141" s="46"/>
      <c r="H3141" s="46"/>
      <c r="I3141" s="47"/>
    </row>
    <row r="3142" spans="2:9" x14ac:dyDescent="0.25">
      <c r="B3142" s="23"/>
      <c r="I3142" s="26"/>
    </row>
    <row r="3143" spans="2:9" x14ac:dyDescent="0.25">
      <c r="B3143" s="23"/>
      <c r="C3143" s="51" t="s">
        <v>55</v>
      </c>
      <c r="D3143" s="46"/>
      <c r="E3143" s="46"/>
      <c r="F3143" s="46"/>
      <c r="G3143" s="46"/>
      <c r="H3143" s="46"/>
      <c r="I3143" s="47"/>
    </row>
    <row r="3144" spans="2:9" x14ac:dyDescent="0.25">
      <c r="B3144" s="23"/>
      <c r="I3144" s="26"/>
    </row>
    <row r="3145" spans="2:9" ht="19.899999999999999" customHeight="1" x14ac:dyDescent="0.25">
      <c r="B3145" s="24" t="s">
        <v>2336</v>
      </c>
      <c r="C3145" s="18" t="s">
        <v>49</v>
      </c>
      <c r="D3145" s="52" t="s">
        <v>2337</v>
      </c>
      <c r="E3145" s="53"/>
      <c r="F3145" s="53"/>
      <c r="G3145" s="53"/>
      <c r="H3145" s="53"/>
      <c r="I3145" s="54"/>
    </row>
    <row r="3146" spans="2:9" ht="19.899999999999999" customHeight="1" x14ac:dyDescent="0.25">
      <c r="B3146" s="23"/>
      <c r="C3146" s="2" t="s">
        <v>657</v>
      </c>
      <c r="D3146" s="45" t="s">
        <v>2338</v>
      </c>
      <c r="E3146" s="46"/>
      <c r="F3146" s="46"/>
      <c r="G3146" s="46"/>
      <c r="H3146" s="46"/>
      <c r="I3146" s="47"/>
    </row>
    <row r="3147" spans="2:9" ht="19.899999999999999" customHeight="1" x14ac:dyDescent="0.25">
      <c r="B3147" s="23"/>
      <c r="C3147" s="2" t="s">
        <v>659</v>
      </c>
      <c r="D3147" s="45" t="s">
        <v>2339</v>
      </c>
      <c r="E3147" s="46"/>
      <c r="F3147" s="46"/>
      <c r="G3147" s="46"/>
      <c r="H3147" s="46"/>
      <c r="I3147" s="47"/>
    </row>
    <row r="3148" spans="2:9" ht="19.899999999999999" customHeight="1" x14ac:dyDescent="0.25">
      <c r="B3148" s="23"/>
      <c r="C3148" s="2" t="s">
        <v>661</v>
      </c>
      <c r="D3148" s="45" t="s">
        <v>2340</v>
      </c>
      <c r="E3148" s="46"/>
      <c r="F3148" s="46"/>
      <c r="G3148" s="46"/>
      <c r="H3148" s="46"/>
      <c r="I3148" s="47"/>
    </row>
    <row r="3149" spans="2:9" ht="19.899999999999999" customHeight="1" x14ac:dyDescent="0.25">
      <c r="B3149" s="23"/>
      <c r="C3149" s="2" t="s">
        <v>663</v>
      </c>
      <c r="D3149" s="45" t="s">
        <v>2341</v>
      </c>
      <c r="E3149" s="46"/>
      <c r="F3149" s="46"/>
      <c r="G3149" s="46"/>
      <c r="H3149" s="46"/>
      <c r="I3149" s="47"/>
    </row>
    <row r="3150" spans="2:9" x14ac:dyDescent="0.25">
      <c r="B3150" s="23"/>
      <c r="I3150" s="26"/>
    </row>
    <row r="3151" spans="2:9" x14ac:dyDescent="0.25">
      <c r="B3151" s="23"/>
      <c r="C3151" s="55" t="s">
        <v>60</v>
      </c>
      <c r="D3151" s="46"/>
      <c r="E3151" s="46"/>
      <c r="F3151" s="46"/>
      <c r="G3151" s="46"/>
      <c r="H3151" s="46"/>
      <c r="I3151" s="47"/>
    </row>
    <row r="3152" spans="2:9" x14ac:dyDescent="0.25">
      <c r="B3152" s="23"/>
      <c r="I3152" s="26"/>
    </row>
    <row r="3153" spans="1:9" ht="19.899999999999999" customHeight="1" x14ac:dyDescent="0.25">
      <c r="B3153" s="24" t="s">
        <v>2342</v>
      </c>
      <c r="C3153" s="18" t="s">
        <v>49</v>
      </c>
      <c r="D3153" s="52" t="s">
        <v>2343</v>
      </c>
      <c r="E3153" s="53"/>
      <c r="F3153" s="53"/>
      <c r="G3153" s="53"/>
      <c r="H3153" s="53"/>
      <c r="I3153" s="54"/>
    </row>
    <row r="3154" spans="1:9" ht="19.899999999999999" customHeight="1" x14ac:dyDescent="0.25">
      <c r="B3154" s="23"/>
      <c r="C3154" s="2" t="s">
        <v>657</v>
      </c>
      <c r="D3154" s="45" t="s">
        <v>2344</v>
      </c>
      <c r="E3154" s="46"/>
      <c r="F3154" s="46"/>
      <c r="G3154" s="46"/>
      <c r="H3154" s="46"/>
      <c r="I3154" s="47"/>
    </row>
    <row r="3155" spans="1:9" ht="19.899999999999999" customHeight="1" x14ac:dyDescent="0.25">
      <c r="B3155" s="23"/>
      <c r="C3155" s="2" t="s">
        <v>659</v>
      </c>
      <c r="D3155" s="45" t="s">
        <v>2345</v>
      </c>
      <c r="E3155" s="46"/>
      <c r="F3155" s="46"/>
      <c r="G3155" s="46"/>
      <c r="H3155" s="46"/>
      <c r="I3155" s="47"/>
    </row>
    <row r="3156" spans="1:9" ht="19.899999999999999" customHeight="1" x14ac:dyDescent="0.25">
      <c r="B3156" s="23"/>
      <c r="C3156" s="2" t="s">
        <v>661</v>
      </c>
      <c r="D3156" s="45" t="s">
        <v>2346</v>
      </c>
      <c r="E3156" s="46"/>
      <c r="F3156" s="46"/>
      <c r="G3156" s="46"/>
      <c r="H3156" s="46"/>
      <c r="I3156" s="47"/>
    </row>
    <row r="3157" spans="1:9" ht="34.35" customHeight="1" x14ac:dyDescent="0.25">
      <c r="B3157" s="23"/>
      <c r="C3157" s="2" t="s">
        <v>663</v>
      </c>
      <c r="D3157" s="45" t="s">
        <v>2347</v>
      </c>
      <c r="E3157" s="46"/>
      <c r="F3157" s="46"/>
      <c r="G3157" s="46"/>
      <c r="H3157" s="46"/>
      <c r="I3157" s="47"/>
    </row>
    <row r="3158" spans="1:9" x14ac:dyDescent="0.25">
      <c r="B3158" s="23"/>
      <c r="I3158" s="26"/>
    </row>
    <row r="3159" spans="1:9" x14ac:dyDescent="0.25">
      <c r="B3159" s="23"/>
      <c r="C3159" s="55" t="s">
        <v>60</v>
      </c>
      <c r="D3159" s="46"/>
      <c r="E3159" s="46"/>
      <c r="F3159" s="46"/>
      <c r="G3159" s="46"/>
      <c r="H3159" s="46"/>
      <c r="I3159" s="47"/>
    </row>
    <row r="3160" spans="1:9" x14ac:dyDescent="0.25">
      <c r="B3160" s="25"/>
      <c r="C3160" s="21"/>
      <c r="D3160" s="21"/>
      <c r="E3160" s="21"/>
      <c r="F3160" s="21"/>
      <c r="G3160" s="21"/>
      <c r="H3160" s="21"/>
      <c r="I3160" s="27"/>
    </row>
    <row r="3164" spans="1:9" ht="19.899999999999999" customHeight="1" x14ac:dyDescent="0.25">
      <c r="A3164" s="45" t="s">
        <v>39</v>
      </c>
      <c r="B3164" s="46"/>
      <c r="C3164" s="46"/>
      <c r="D3164" s="46"/>
      <c r="E3164" s="46"/>
      <c r="F3164" s="46"/>
      <c r="G3164" s="46"/>
      <c r="H3164" s="46"/>
      <c r="I3164" s="46"/>
    </row>
    <row r="3165" spans="1:9" ht="18.75" x14ac:dyDescent="0.25">
      <c r="A3165" s="16" t="s">
        <v>2348</v>
      </c>
      <c r="B3165" s="3" t="s">
        <v>47</v>
      </c>
    </row>
    <row r="3166" spans="1:9" ht="19.899999999999999" customHeight="1" x14ac:dyDescent="0.25">
      <c r="B3166" s="22" t="s">
        <v>2324</v>
      </c>
      <c r="C3166" s="20" t="s">
        <v>49</v>
      </c>
      <c r="D3166" s="42" t="s">
        <v>2349</v>
      </c>
      <c r="E3166" s="43"/>
      <c r="F3166" s="43"/>
      <c r="G3166" s="43"/>
      <c r="H3166" s="43"/>
      <c r="I3166" s="44"/>
    </row>
    <row r="3167" spans="1:9" ht="48.95" customHeight="1" x14ac:dyDescent="0.25">
      <c r="B3167" s="23"/>
      <c r="C3167" s="2" t="s">
        <v>851</v>
      </c>
      <c r="D3167" s="45" t="s">
        <v>2350</v>
      </c>
      <c r="E3167" s="46"/>
      <c r="F3167" s="46"/>
      <c r="G3167" s="46"/>
      <c r="H3167" s="46"/>
      <c r="I3167" s="47"/>
    </row>
    <row r="3168" spans="1:9" ht="77.849999999999994" customHeight="1" x14ac:dyDescent="0.25">
      <c r="B3168" s="23"/>
      <c r="C3168" s="2" t="s">
        <v>657</v>
      </c>
      <c r="D3168" s="45" t="s">
        <v>2351</v>
      </c>
      <c r="E3168" s="46"/>
      <c r="F3168" s="46"/>
      <c r="G3168" s="46"/>
      <c r="H3168" s="46"/>
      <c r="I3168" s="47"/>
    </row>
    <row r="3169" spans="2:9" ht="77.849999999999994" customHeight="1" x14ac:dyDescent="0.25">
      <c r="B3169" s="23"/>
      <c r="C3169" s="2" t="s">
        <v>659</v>
      </c>
      <c r="D3169" s="45" t="s">
        <v>2352</v>
      </c>
      <c r="E3169" s="46"/>
      <c r="F3169" s="46"/>
      <c r="G3169" s="46"/>
      <c r="H3169" s="46"/>
      <c r="I3169" s="47"/>
    </row>
    <row r="3170" spans="2:9" x14ac:dyDescent="0.25">
      <c r="B3170" s="23"/>
      <c r="I3170" s="26"/>
    </row>
    <row r="3171" spans="2:9" x14ac:dyDescent="0.25">
      <c r="B3171" s="23"/>
      <c r="C3171" s="51" t="s">
        <v>55</v>
      </c>
      <c r="D3171" s="46"/>
      <c r="E3171" s="46"/>
      <c r="F3171" s="46"/>
      <c r="G3171" s="46"/>
      <c r="H3171" s="46"/>
      <c r="I3171" s="47"/>
    </row>
    <row r="3172" spans="2:9" x14ac:dyDescent="0.25">
      <c r="B3172" s="23"/>
      <c r="I3172" s="26"/>
    </row>
    <row r="3173" spans="2:9" ht="19.899999999999999" customHeight="1" x14ac:dyDescent="0.25">
      <c r="B3173" s="24" t="s">
        <v>2353</v>
      </c>
      <c r="C3173" s="18" t="s">
        <v>49</v>
      </c>
      <c r="D3173" s="52" t="s">
        <v>2354</v>
      </c>
      <c r="E3173" s="53"/>
      <c r="F3173" s="53"/>
      <c r="G3173" s="53"/>
      <c r="H3173" s="53"/>
      <c r="I3173" s="54"/>
    </row>
    <row r="3174" spans="2:9" ht="77.849999999999994" customHeight="1" x14ac:dyDescent="0.25">
      <c r="B3174" s="23"/>
      <c r="C3174" s="2" t="s">
        <v>851</v>
      </c>
      <c r="D3174" s="45" t="s">
        <v>2355</v>
      </c>
      <c r="E3174" s="46"/>
      <c r="F3174" s="46"/>
      <c r="G3174" s="46"/>
      <c r="H3174" s="46"/>
      <c r="I3174" s="47"/>
    </row>
    <row r="3175" spans="2:9" ht="63.4" customHeight="1" x14ac:dyDescent="0.25">
      <c r="B3175" s="23"/>
      <c r="C3175" s="2" t="s">
        <v>657</v>
      </c>
      <c r="D3175" s="45" t="s">
        <v>2356</v>
      </c>
      <c r="E3175" s="46"/>
      <c r="F3175" s="46"/>
      <c r="G3175" s="46"/>
      <c r="H3175" s="46"/>
      <c r="I3175" s="47"/>
    </row>
    <row r="3176" spans="2:9" ht="63.4" customHeight="1" x14ac:dyDescent="0.25">
      <c r="B3176" s="23"/>
      <c r="C3176" s="2" t="s">
        <v>659</v>
      </c>
      <c r="D3176" s="45" t="s">
        <v>2357</v>
      </c>
      <c r="E3176" s="46"/>
      <c r="F3176" s="46"/>
      <c r="G3176" s="46"/>
      <c r="H3176" s="46"/>
      <c r="I3176" s="47"/>
    </row>
    <row r="3177" spans="2:9" x14ac:dyDescent="0.25">
      <c r="B3177" s="23"/>
      <c r="I3177" s="26"/>
    </row>
    <row r="3178" spans="2:9" x14ac:dyDescent="0.25">
      <c r="B3178" s="23"/>
      <c r="C3178" s="51" t="s">
        <v>55</v>
      </c>
      <c r="D3178" s="46"/>
      <c r="E3178" s="46"/>
      <c r="F3178" s="46"/>
      <c r="G3178" s="46"/>
      <c r="H3178" s="46"/>
      <c r="I3178" s="47"/>
    </row>
    <row r="3179" spans="2:9" x14ac:dyDescent="0.25">
      <c r="B3179" s="23"/>
      <c r="I3179" s="26"/>
    </row>
    <row r="3180" spans="2:9" ht="19.899999999999999" customHeight="1" x14ac:dyDescent="0.25">
      <c r="B3180" s="24" t="s">
        <v>2358</v>
      </c>
      <c r="C3180" s="18" t="s">
        <v>49</v>
      </c>
      <c r="D3180" s="52" t="s">
        <v>2359</v>
      </c>
      <c r="E3180" s="53"/>
      <c r="F3180" s="53"/>
      <c r="G3180" s="53"/>
      <c r="H3180" s="53"/>
      <c r="I3180" s="54"/>
    </row>
    <row r="3181" spans="2:9" ht="48.95" customHeight="1" x14ac:dyDescent="0.25">
      <c r="B3181" s="23"/>
      <c r="C3181" s="2" t="s">
        <v>851</v>
      </c>
      <c r="D3181" s="45" t="s">
        <v>2360</v>
      </c>
      <c r="E3181" s="46"/>
      <c r="F3181" s="46"/>
      <c r="G3181" s="46"/>
      <c r="H3181" s="46"/>
      <c r="I3181" s="47"/>
    </row>
    <row r="3182" spans="2:9" ht="48.95" customHeight="1" x14ac:dyDescent="0.25">
      <c r="B3182" s="23"/>
      <c r="C3182" s="2" t="s">
        <v>657</v>
      </c>
      <c r="D3182" s="45" t="s">
        <v>2361</v>
      </c>
      <c r="E3182" s="46"/>
      <c r="F3182" s="46"/>
      <c r="G3182" s="46"/>
      <c r="H3182" s="46"/>
      <c r="I3182" s="47"/>
    </row>
    <row r="3183" spans="2:9" ht="48.95" customHeight="1" x14ac:dyDescent="0.25">
      <c r="B3183" s="23"/>
      <c r="C3183" s="2" t="s">
        <v>659</v>
      </c>
      <c r="D3183" s="45" t="s">
        <v>2362</v>
      </c>
      <c r="E3183" s="46"/>
      <c r="F3183" s="46"/>
      <c r="G3183" s="46"/>
      <c r="H3183" s="46"/>
      <c r="I3183" s="47"/>
    </row>
    <row r="3184" spans="2:9" x14ac:dyDescent="0.25">
      <c r="B3184" s="23"/>
      <c r="I3184" s="26"/>
    </row>
    <row r="3185" spans="2:9" x14ac:dyDescent="0.25">
      <c r="B3185" s="23"/>
      <c r="C3185" s="55" t="s">
        <v>60</v>
      </c>
      <c r="D3185" s="46"/>
      <c r="E3185" s="46"/>
      <c r="F3185" s="46"/>
      <c r="G3185" s="46"/>
      <c r="H3185" s="46"/>
      <c r="I3185" s="47"/>
    </row>
    <row r="3186" spans="2:9" x14ac:dyDescent="0.25">
      <c r="B3186" s="23"/>
      <c r="I3186" s="26"/>
    </row>
    <row r="3187" spans="2:9" ht="19.899999999999999" customHeight="1" x14ac:dyDescent="0.25">
      <c r="B3187" s="24" t="s">
        <v>2363</v>
      </c>
      <c r="C3187" s="18" t="s">
        <v>49</v>
      </c>
      <c r="D3187" s="52" t="s">
        <v>2364</v>
      </c>
      <c r="E3187" s="53"/>
      <c r="F3187" s="53"/>
      <c r="G3187" s="53"/>
      <c r="H3187" s="53"/>
      <c r="I3187" s="54"/>
    </row>
    <row r="3188" spans="2:9" ht="19.899999999999999" customHeight="1" x14ac:dyDescent="0.25">
      <c r="B3188" s="23"/>
      <c r="C3188" s="2" t="s">
        <v>851</v>
      </c>
      <c r="D3188" s="45" t="s">
        <v>2365</v>
      </c>
      <c r="E3188" s="46"/>
      <c r="F3188" s="46"/>
      <c r="G3188" s="46"/>
      <c r="H3188" s="46"/>
      <c r="I3188" s="47"/>
    </row>
    <row r="3189" spans="2:9" ht="19.899999999999999" customHeight="1" x14ac:dyDescent="0.25">
      <c r="B3189" s="23"/>
      <c r="C3189" s="2" t="s">
        <v>657</v>
      </c>
      <c r="D3189" s="45" t="s">
        <v>2366</v>
      </c>
      <c r="E3189" s="46"/>
      <c r="F3189" s="46"/>
      <c r="G3189" s="46"/>
      <c r="H3189" s="46"/>
      <c r="I3189" s="47"/>
    </row>
    <row r="3190" spans="2:9" ht="19.899999999999999" customHeight="1" x14ac:dyDescent="0.25">
      <c r="B3190" s="23"/>
      <c r="C3190" s="2" t="s">
        <v>659</v>
      </c>
      <c r="D3190" s="45" t="s">
        <v>2367</v>
      </c>
      <c r="E3190" s="46"/>
      <c r="F3190" s="46"/>
      <c r="G3190" s="46"/>
      <c r="H3190" s="46"/>
      <c r="I3190" s="47"/>
    </row>
    <row r="3191" spans="2:9" x14ac:dyDescent="0.25">
      <c r="B3191" s="23"/>
      <c r="I3191" s="26"/>
    </row>
    <row r="3192" spans="2:9" x14ac:dyDescent="0.25">
      <c r="B3192" s="23"/>
      <c r="C3192" s="55" t="s">
        <v>60</v>
      </c>
      <c r="D3192" s="46"/>
      <c r="E3192" s="46"/>
      <c r="F3192" s="46"/>
      <c r="G3192" s="46"/>
      <c r="H3192" s="46"/>
      <c r="I3192" s="47"/>
    </row>
    <row r="3193" spans="2:9" x14ac:dyDescent="0.25">
      <c r="B3193" s="23"/>
      <c r="I3193" s="26"/>
    </row>
    <row r="3194" spans="2:9" ht="48.95" customHeight="1" x14ac:dyDescent="0.25">
      <c r="B3194" s="24" t="s">
        <v>2368</v>
      </c>
      <c r="C3194" s="18" t="s">
        <v>49</v>
      </c>
      <c r="D3194" s="52" t="s">
        <v>2369</v>
      </c>
      <c r="E3194" s="53"/>
      <c r="F3194" s="53"/>
      <c r="G3194" s="53"/>
      <c r="H3194" s="53"/>
      <c r="I3194" s="54"/>
    </row>
    <row r="3195" spans="2:9" ht="48.95" customHeight="1" x14ac:dyDescent="0.25">
      <c r="B3195" s="23"/>
      <c r="C3195" s="2" t="s">
        <v>851</v>
      </c>
      <c r="D3195" s="45" t="s">
        <v>2370</v>
      </c>
      <c r="E3195" s="46"/>
      <c r="F3195" s="46"/>
      <c r="G3195" s="46"/>
      <c r="H3195" s="46"/>
      <c r="I3195" s="47"/>
    </row>
    <row r="3196" spans="2:9" ht="48.95" customHeight="1" x14ac:dyDescent="0.25">
      <c r="B3196" s="23"/>
      <c r="C3196" s="2" t="s">
        <v>657</v>
      </c>
      <c r="D3196" s="45" t="s">
        <v>2371</v>
      </c>
      <c r="E3196" s="46"/>
      <c r="F3196" s="46"/>
      <c r="G3196" s="46"/>
      <c r="H3196" s="46"/>
      <c r="I3196" s="47"/>
    </row>
    <row r="3197" spans="2:9" ht="63.4" customHeight="1" x14ac:dyDescent="0.25">
      <c r="B3197" s="23"/>
      <c r="C3197" s="2" t="s">
        <v>659</v>
      </c>
      <c r="D3197" s="45" t="s">
        <v>2372</v>
      </c>
      <c r="E3197" s="46"/>
      <c r="F3197" s="46"/>
      <c r="G3197" s="46"/>
      <c r="H3197" s="46"/>
      <c r="I3197" s="47"/>
    </row>
    <row r="3198" spans="2:9" x14ac:dyDescent="0.25">
      <c r="B3198" s="23"/>
      <c r="I3198" s="26"/>
    </row>
    <row r="3199" spans="2:9" x14ac:dyDescent="0.25">
      <c r="B3199" s="23"/>
      <c r="C3199" s="51" t="s">
        <v>55</v>
      </c>
      <c r="D3199" s="46"/>
      <c r="E3199" s="46"/>
      <c r="F3199" s="46"/>
      <c r="G3199" s="46"/>
      <c r="H3199" s="46"/>
      <c r="I3199" s="47"/>
    </row>
    <row r="3200" spans="2:9" x14ac:dyDescent="0.25">
      <c r="B3200" s="25"/>
      <c r="C3200" s="21"/>
      <c r="D3200" s="21"/>
      <c r="E3200" s="21"/>
      <c r="F3200" s="21"/>
      <c r="G3200" s="21"/>
      <c r="H3200" s="21"/>
      <c r="I3200" s="27"/>
    </row>
    <row r="3204" spans="1:9" ht="19.899999999999999" customHeight="1" x14ac:dyDescent="0.25">
      <c r="A3204" s="45" t="s">
        <v>40</v>
      </c>
      <c r="B3204" s="46"/>
      <c r="C3204" s="46"/>
      <c r="D3204" s="46"/>
      <c r="E3204" s="46"/>
      <c r="F3204" s="46"/>
      <c r="G3204" s="46"/>
      <c r="H3204" s="46"/>
      <c r="I3204" s="46"/>
    </row>
    <row r="3205" spans="1:9" ht="18.75" x14ac:dyDescent="0.25">
      <c r="A3205" s="16" t="s">
        <v>2373</v>
      </c>
      <c r="B3205" s="3" t="s">
        <v>47</v>
      </c>
    </row>
    <row r="3206" spans="1:9" ht="19.899999999999999" customHeight="1" x14ac:dyDescent="0.25">
      <c r="B3206" s="22" t="s">
        <v>1863</v>
      </c>
      <c r="C3206" s="20" t="s">
        <v>49</v>
      </c>
      <c r="D3206" s="42" t="s">
        <v>1864</v>
      </c>
      <c r="E3206" s="43"/>
      <c r="F3206" s="43"/>
      <c r="G3206" s="43"/>
      <c r="H3206" s="43"/>
      <c r="I3206" s="44"/>
    </row>
    <row r="3207" spans="1:9" ht="19.899999999999999" customHeight="1" x14ac:dyDescent="0.25">
      <c r="B3207" s="23"/>
      <c r="C3207" s="2" t="s">
        <v>851</v>
      </c>
      <c r="D3207" s="45" t="s">
        <v>1865</v>
      </c>
      <c r="E3207" s="46"/>
      <c r="F3207" s="46"/>
      <c r="G3207" s="46"/>
      <c r="H3207" s="46"/>
      <c r="I3207" s="47"/>
    </row>
    <row r="3208" spans="1:9" ht="19.899999999999999" customHeight="1" x14ac:dyDescent="0.25">
      <c r="B3208" s="23"/>
      <c r="C3208" s="2" t="s">
        <v>657</v>
      </c>
      <c r="D3208" s="45" t="s">
        <v>1866</v>
      </c>
      <c r="E3208" s="46"/>
      <c r="F3208" s="46"/>
      <c r="G3208" s="46"/>
      <c r="H3208" s="46"/>
      <c r="I3208" s="47"/>
    </row>
    <row r="3209" spans="1:9" ht="19.899999999999999" customHeight="1" x14ac:dyDescent="0.25">
      <c r="B3209" s="23"/>
      <c r="C3209" s="2" t="s">
        <v>659</v>
      </c>
      <c r="D3209" s="45" t="s">
        <v>1867</v>
      </c>
      <c r="E3209" s="46"/>
      <c r="F3209" s="46"/>
      <c r="G3209" s="46"/>
      <c r="H3209" s="46"/>
      <c r="I3209" s="47"/>
    </row>
    <row r="3210" spans="1:9" ht="19.899999999999999" customHeight="1" x14ac:dyDescent="0.25">
      <c r="B3210" s="23"/>
      <c r="C3210" s="2" t="s">
        <v>661</v>
      </c>
      <c r="D3210" s="45" t="s">
        <v>1868</v>
      </c>
      <c r="E3210" s="46"/>
      <c r="F3210" s="46"/>
      <c r="G3210" s="46"/>
      <c r="H3210" s="46"/>
      <c r="I3210" s="47"/>
    </row>
    <row r="3211" spans="1:9" ht="19.899999999999999" customHeight="1" x14ac:dyDescent="0.25">
      <c r="B3211" s="23"/>
      <c r="C3211" s="2" t="s">
        <v>663</v>
      </c>
      <c r="D3211" s="45" t="s">
        <v>1869</v>
      </c>
      <c r="E3211" s="46"/>
      <c r="F3211" s="46"/>
      <c r="G3211" s="46"/>
      <c r="H3211" s="46"/>
      <c r="I3211" s="47"/>
    </row>
    <row r="3212" spans="1:9" ht="19.899999999999999" customHeight="1" x14ac:dyDescent="0.25">
      <c r="B3212" s="23"/>
      <c r="C3212" s="2" t="s">
        <v>671</v>
      </c>
      <c r="D3212" s="45" t="s">
        <v>1870</v>
      </c>
      <c r="E3212" s="46"/>
      <c r="F3212" s="46"/>
      <c r="G3212" s="46"/>
      <c r="H3212" s="46"/>
      <c r="I3212" s="47"/>
    </row>
    <row r="3213" spans="1:9" ht="19.899999999999999" customHeight="1" x14ac:dyDescent="0.25">
      <c r="B3213" s="23"/>
      <c r="C3213" s="2" t="s">
        <v>680</v>
      </c>
      <c r="D3213" s="45" t="s">
        <v>1871</v>
      </c>
      <c r="E3213" s="46"/>
      <c r="F3213" s="46"/>
      <c r="G3213" s="46"/>
      <c r="H3213" s="46"/>
      <c r="I3213" s="47"/>
    </row>
    <row r="3214" spans="1:9" ht="19.899999999999999" customHeight="1" x14ac:dyDescent="0.25">
      <c r="B3214" s="23"/>
      <c r="C3214" s="2" t="s">
        <v>690</v>
      </c>
      <c r="D3214" s="45" t="s">
        <v>1872</v>
      </c>
      <c r="E3214" s="46"/>
      <c r="F3214" s="46"/>
      <c r="G3214" s="46"/>
      <c r="H3214" s="46"/>
      <c r="I3214" s="47"/>
    </row>
    <row r="3215" spans="1:9" ht="19.899999999999999" customHeight="1" x14ac:dyDescent="0.25">
      <c r="B3215" s="23"/>
      <c r="C3215" s="2" t="s">
        <v>692</v>
      </c>
      <c r="D3215" s="45" t="s">
        <v>1873</v>
      </c>
      <c r="E3215" s="46"/>
      <c r="F3215" s="46"/>
      <c r="G3215" s="46"/>
      <c r="H3215" s="46"/>
      <c r="I3215" s="47"/>
    </row>
    <row r="3216" spans="1:9" ht="19.899999999999999" customHeight="1" x14ac:dyDescent="0.25">
      <c r="B3216" s="23"/>
      <c r="C3216" s="2" t="s">
        <v>829</v>
      </c>
      <c r="D3216" s="45" t="s">
        <v>1874</v>
      </c>
      <c r="E3216" s="46"/>
      <c r="F3216" s="46"/>
      <c r="G3216" s="46"/>
      <c r="H3216" s="46"/>
      <c r="I3216" s="47"/>
    </row>
    <row r="3217" spans="2:9" ht="19.899999999999999" customHeight="1" x14ac:dyDescent="0.25">
      <c r="B3217" s="23"/>
      <c r="C3217" s="2" t="s">
        <v>1875</v>
      </c>
      <c r="D3217" s="45" t="s">
        <v>1876</v>
      </c>
      <c r="E3217" s="46"/>
      <c r="F3217" s="46"/>
      <c r="G3217" s="46"/>
      <c r="H3217" s="46"/>
      <c r="I3217" s="47"/>
    </row>
    <row r="3218" spans="2:9" x14ac:dyDescent="0.25">
      <c r="B3218" s="23"/>
      <c r="I3218" s="26"/>
    </row>
    <row r="3219" spans="2:9" x14ac:dyDescent="0.25">
      <c r="B3219" s="23"/>
      <c r="C3219" s="55" t="s">
        <v>60</v>
      </c>
      <c r="D3219" s="46"/>
      <c r="E3219" s="46"/>
      <c r="F3219" s="46"/>
      <c r="G3219" s="46"/>
      <c r="H3219" s="46"/>
      <c r="I3219" s="47"/>
    </row>
    <row r="3220" spans="2:9" x14ac:dyDescent="0.25">
      <c r="B3220" s="23"/>
      <c r="I3220" s="26"/>
    </row>
    <row r="3221" spans="2:9" ht="19.899999999999999" customHeight="1" x14ac:dyDescent="0.25">
      <c r="B3221" s="24" t="s">
        <v>1877</v>
      </c>
      <c r="C3221" s="19" t="str">
        <f>HYPERLINK("#'Json-dokumentation'!A3345", "Element av typen 'BPS'")</f>
        <v>Element av typen 'BPS'</v>
      </c>
      <c r="D3221" s="52" t="s">
        <v>1878</v>
      </c>
      <c r="E3221" s="53"/>
      <c r="F3221" s="53"/>
      <c r="G3221" s="53"/>
      <c r="H3221" s="53"/>
      <c r="I3221" s="54"/>
    </row>
    <row r="3222" spans="2:9" x14ac:dyDescent="0.25">
      <c r="B3222" s="23"/>
      <c r="C3222" s="55" t="s">
        <v>60</v>
      </c>
      <c r="D3222" s="46"/>
      <c r="E3222" s="46"/>
      <c r="F3222" s="46"/>
      <c r="G3222" s="46"/>
      <c r="H3222" s="46"/>
      <c r="I3222" s="47"/>
    </row>
    <row r="3223" spans="2:9" x14ac:dyDescent="0.25">
      <c r="B3223" s="23"/>
      <c r="I3223" s="26"/>
    </row>
    <row r="3224" spans="2:9" ht="34.35" customHeight="1" x14ac:dyDescent="0.25">
      <c r="B3224" s="24" t="s">
        <v>1879</v>
      </c>
      <c r="C3224" s="19" t="str">
        <f>HYPERLINK("#'Json-dokumentation'!A3382", "Element av typen 'CPOT'")</f>
        <v>Element av typen 'CPOT'</v>
      </c>
      <c r="D3224" s="52" t="s">
        <v>1880</v>
      </c>
      <c r="E3224" s="53"/>
      <c r="F3224" s="53"/>
      <c r="G3224" s="53"/>
      <c r="H3224" s="53"/>
      <c r="I3224" s="54"/>
    </row>
    <row r="3225" spans="2:9" x14ac:dyDescent="0.25">
      <c r="B3225" s="23"/>
      <c r="C3225" s="55" t="s">
        <v>60</v>
      </c>
      <c r="D3225" s="46"/>
      <c r="E3225" s="46"/>
      <c r="F3225" s="46"/>
      <c r="G3225" s="46"/>
      <c r="H3225" s="46"/>
      <c r="I3225" s="47"/>
    </row>
    <row r="3226" spans="2:9" x14ac:dyDescent="0.25">
      <c r="B3226" s="23"/>
      <c r="I3226" s="26"/>
    </row>
    <row r="3227" spans="2:9" ht="19.899999999999999" customHeight="1" x14ac:dyDescent="0.25">
      <c r="B3227" s="24" t="s">
        <v>2374</v>
      </c>
      <c r="C3227" s="18" t="s">
        <v>49</v>
      </c>
      <c r="D3227" s="52" t="s">
        <v>2375</v>
      </c>
      <c r="E3227" s="53"/>
      <c r="F3227" s="53"/>
      <c r="G3227" s="53"/>
      <c r="H3227" s="53"/>
      <c r="I3227" s="54"/>
    </row>
    <row r="3228" spans="2:9" ht="19.899999999999999" customHeight="1" x14ac:dyDescent="0.25">
      <c r="B3228" s="23"/>
      <c r="C3228" s="2" t="s">
        <v>1887</v>
      </c>
      <c r="D3228" s="45" t="s">
        <v>2376</v>
      </c>
      <c r="E3228" s="46"/>
      <c r="F3228" s="46"/>
      <c r="G3228" s="46"/>
      <c r="H3228" s="46"/>
      <c r="I3228" s="47"/>
    </row>
    <row r="3229" spans="2:9" ht="19.899999999999999" customHeight="1" x14ac:dyDescent="0.25">
      <c r="B3229" s="23"/>
      <c r="C3229" s="2" t="s">
        <v>300</v>
      </c>
      <c r="D3229" s="45" t="s">
        <v>2377</v>
      </c>
      <c r="E3229" s="46"/>
      <c r="F3229" s="46"/>
      <c r="G3229" s="46"/>
      <c r="H3229" s="46"/>
      <c r="I3229" s="47"/>
    </row>
    <row r="3230" spans="2:9" x14ac:dyDescent="0.25">
      <c r="B3230" s="23"/>
      <c r="I3230" s="26"/>
    </row>
    <row r="3231" spans="2:9" x14ac:dyDescent="0.25">
      <c r="B3231" s="23"/>
      <c r="C3231" s="55" t="s">
        <v>60</v>
      </c>
      <c r="D3231" s="46"/>
      <c r="E3231" s="46"/>
      <c r="F3231" s="46"/>
      <c r="G3231" s="46"/>
      <c r="H3231" s="46"/>
      <c r="I3231" s="47"/>
    </row>
    <row r="3232" spans="2:9" x14ac:dyDescent="0.25">
      <c r="B3232" s="25"/>
      <c r="C3232" s="21"/>
      <c r="D3232" s="21"/>
      <c r="E3232" s="21"/>
      <c r="F3232" s="21"/>
      <c r="G3232" s="21"/>
      <c r="H3232" s="21"/>
      <c r="I3232" s="27"/>
    </row>
    <row r="3236" spans="1:10" ht="19.899999999999999" customHeight="1" x14ac:dyDescent="0.25">
      <c r="A3236" s="45" t="s">
        <v>41</v>
      </c>
      <c r="B3236" s="46"/>
      <c r="C3236" s="46"/>
      <c r="D3236" s="46"/>
      <c r="E3236" s="46"/>
      <c r="F3236" s="46"/>
      <c r="G3236" s="46"/>
      <c r="H3236" s="46"/>
      <c r="I3236" s="46"/>
    </row>
    <row r="3237" spans="1:10" ht="18.75" x14ac:dyDescent="0.25">
      <c r="A3237" s="16" t="s">
        <v>2378</v>
      </c>
      <c r="B3237" s="3" t="s">
        <v>47</v>
      </c>
      <c r="J3237" s="17" t="str">
        <f>HYPERLINK("#'Ändringshistorik'!C69", "Ändringshistorik: [300] ,[301] ,[302]")</f>
        <v>Ändringshistorik: [300] ,[301] ,[302]</v>
      </c>
    </row>
    <row r="3238" spans="1:10" ht="19.899999999999999" customHeight="1" x14ac:dyDescent="0.25">
      <c r="B3238" s="22" t="s">
        <v>958</v>
      </c>
      <c r="C3238" s="32" t="s">
        <v>73</v>
      </c>
      <c r="D3238" s="42" t="s">
        <v>2379</v>
      </c>
      <c r="E3238" s="43"/>
      <c r="F3238" s="43"/>
      <c r="G3238" s="43"/>
      <c r="H3238" s="43"/>
      <c r="I3238" s="44"/>
      <c r="J3238" s="17" t="str">
        <f>HYPERLINK("#'Ändringshistorik'!C72", "Ändringshistorik: [303]")</f>
        <v>Ändringshistorik: [303]</v>
      </c>
    </row>
    <row r="3239" spans="1:10" x14ac:dyDescent="0.25">
      <c r="B3239" s="23"/>
      <c r="I3239" s="26"/>
    </row>
    <row r="3240" spans="1:10" x14ac:dyDescent="0.25">
      <c r="B3240" s="23"/>
      <c r="C3240" s="51" t="s">
        <v>55</v>
      </c>
      <c r="D3240" s="46"/>
      <c r="E3240" s="46"/>
      <c r="F3240" s="46"/>
      <c r="G3240" s="46"/>
      <c r="H3240" s="46"/>
      <c r="I3240" s="47"/>
    </row>
    <row r="3241" spans="1:10" x14ac:dyDescent="0.25">
      <c r="B3241" s="23"/>
      <c r="I3241" s="26"/>
    </row>
    <row r="3242" spans="1:10" ht="19.899999999999999" customHeight="1" x14ac:dyDescent="0.25">
      <c r="B3242" s="24" t="s">
        <v>1679</v>
      </c>
      <c r="C3242" s="18" t="s">
        <v>49</v>
      </c>
      <c r="D3242" s="52" t="s">
        <v>2380</v>
      </c>
      <c r="E3242" s="53"/>
      <c r="F3242" s="53"/>
      <c r="G3242" s="53"/>
      <c r="H3242" s="53"/>
      <c r="I3242" s="54"/>
      <c r="J3242" s="17" t="str">
        <f>HYPERLINK("#'Ändringshistorik'!C73", "Ändringshistorik: [304]")</f>
        <v>Ändringshistorik: [304]</v>
      </c>
    </row>
    <row r="3243" spans="1:10" ht="19.899999999999999" customHeight="1" x14ac:dyDescent="0.25">
      <c r="B3243" s="23"/>
      <c r="C3243" s="2" t="s">
        <v>1681</v>
      </c>
      <c r="D3243" s="45" t="s">
        <v>1682</v>
      </c>
      <c r="E3243" s="46"/>
      <c r="F3243" s="46"/>
      <c r="G3243" s="46"/>
      <c r="H3243" s="46"/>
      <c r="I3243" s="47"/>
    </row>
    <row r="3244" spans="1:10" ht="19.899999999999999" customHeight="1" x14ac:dyDescent="0.25">
      <c r="B3244" s="23"/>
      <c r="C3244" s="2" t="s">
        <v>1683</v>
      </c>
      <c r="D3244" s="45" t="s">
        <v>1684</v>
      </c>
      <c r="E3244" s="46"/>
      <c r="F3244" s="46"/>
      <c r="G3244" s="46"/>
      <c r="H3244" s="46"/>
      <c r="I3244" s="47"/>
    </row>
    <row r="3245" spans="1:10" ht="19.899999999999999" customHeight="1" x14ac:dyDescent="0.25">
      <c r="B3245" s="23"/>
      <c r="C3245" s="2" t="s">
        <v>1685</v>
      </c>
      <c r="D3245" s="45" t="s">
        <v>1686</v>
      </c>
      <c r="E3245" s="46"/>
      <c r="F3245" s="46"/>
      <c r="G3245" s="46"/>
      <c r="H3245" s="46"/>
      <c r="I3245" s="47"/>
    </row>
    <row r="3246" spans="1:10" x14ac:dyDescent="0.25">
      <c r="B3246" s="23"/>
      <c r="I3246" s="26"/>
    </row>
    <row r="3247" spans="1:10" x14ac:dyDescent="0.25">
      <c r="B3247" s="23"/>
      <c r="C3247" s="51" t="s">
        <v>55</v>
      </c>
      <c r="D3247" s="46"/>
      <c r="E3247" s="46"/>
      <c r="F3247" s="46"/>
      <c r="G3247" s="46"/>
      <c r="H3247" s="46"/>
      <c r="I3247" s="47"/>
    </row>
    <row r="3248" spans="1:10" x14ac:dyDescent="0.25">
      <c r="B3248" s="23"/>
      <c r="I3248" s="26"/>
    </row>
    <row r="3249" spans="2:9" ht="19.899999999999999" customHeight="1" x14ac:dyDescent="0.25">
      <c r="B3249" s="24" t="s">
        <v>2381</v>
      </c>
      <c r="C3249" s="18" t="s">
        <v>49</v>
      </c>
      <c r="D3249" s="52" t="s">
        <v>2382</v>
      </c>
      <c r="E3249" s="53"/>
      <c r="F3249" s="53"/>
      <c r="G3249" s="53"/>
      <c r="H3249" s="53"/>
      <c r="I3249" s="54"/>
    </row>
    <row r="3250" spans="2:9" ht="19.899999999999999" customHeight="1" x14ac:dyDescent="0.25">
      <c r="B3250" s="23"/>
      <c r="C3250" s="2" t="s">
        <v>2383</v>
      </c>
      <c r="D3250" s="45" t="s">
        <v>2384</v>
      </c>
      <c r="E3250" s="46"/>
      <c r="F3250" s="46"/>
      <c r="G3250" s="46"/>
      <c r="H3250" s="46"/>
      <c r="I3250" s="47"/>
    </row>
    <row r="3251" spans="2:9" ht="34.35" customHeight="1" x14ac:dyDescent="0.25">
      <c r="B3251" s="23"/>
      <c r="C3251" s="2" t="s">
        <v>2385</v>
      </c>
      <c r="D3251" s="45" t="s">
        <v>2386</v>
      </c>
      <c r="E3251" s="46"/>
      <c r="F3251" s="46"/>
      <c r="G3251" s="46"/>
      <c r="H3251" s="46"/>
      <c r="I3251" s="47"/>
    </row>
    <row r="3252" spans="2:9" ht="34.35" customHeight="1" x14ac:dyDescent="0.25">
      <c r="B3252" s="23"/>
      <c r="C3252" s="2" t="s">
        <v>2387</v>
      </c>
      <c r="D3252" s="45" t="s">
        <v>2388</v>
      </c>
      <c r="E3252" s="46"/>
      <c r="F3252" s="46"/>
      <c r="G3252" s="46"/>
      <c r="H3252" s="46"/>
      <c r="I3252" s="47"/>
    </row>
    <row r="3253" spans="2:9" x14ac:dyDescent="0.25">
      <c r="B3253" s="23"/>
      <c r="I3253" s="26"/>
    </row>
    <row r="3254" spans="2:9" x14ac:dyDescent="0.25">
      <c r="B3254" s="23"/>
      <c r="C3254" s="51" t="s">
        <v>55</v>
      </c>
      <c r="D3254" s="46"/>
      <c r="E3254" s="46"/>
      <c r="F3254" s="46"/>
      <c r="G3254" s="46"/>
      <c r="H3254" s="46"/>
      <c r="I3254" s="47"/>
    </row>
    <row r="3255" spans="2:9" x14ac:dyDescent="0.25">
      <c r="B3255" s="23"/>
      <c r="I3255" s="26"/>
    </row>
    <row r="3256" spans="2:9" ht="19.899999999999999" customHeight="1" x14ac:dyDescent="0.25">
      <c r="B3256" s="24" t="s">
        <v>2389</v>
      </c>
      <c r="C3256" s="18" t="s">
        <v>49</v>
      </c>
      <c r="D3256" s="52" t="s">
        <v>2390</v>
      </c>
      <c r="E3256" s="53"/>
      <c r="F3256" s="53"/>
      <c r="G3256" s="53"/>
      <c r="H3256" s="53"/>
      <c r="I3256" s="54"/>
    </row>
    <row r="3257" spans="2:9" ht="19.899999999999999" customHeight="1" x14ac:dyDescent="0.25">
      <c r="B3257" s="23"/>
      <c r="C3257" s="2" t="s">
        <v>2383</v>
      </c>
      <c r="D3257" s="45" t="s">
        <v>2384</v>
      </c>
      <c r="E3257" s="46"/>
      <c r="F3257" s="46"/>
      <c r="G3257" s="46"/>
      <c r="H3257" s="46"/>
      <c r="I3257" s="47"/>
    </row>
    <row r="3258" spans="2:9" ht="34.35" customHeight="1" x14ac:dyDescent="0.25">
      <c r="B3258" s="23"/>
      <c r="C3258" s="2" t="s">
        <v>2385</v>
      </c>
      <c r="D3258" s="45" t="s">
        <v>2386</v>
      </c>
      <c r="E3258" s="46"/>
      <c r="F3258" s="46"/>
      <c r="G3258" s="46"/>
      <c r="H3258" s="46"/>
      <c r="I3258" s="47"/>
    </row>
    <row r="3259" spans="2:9" ht="34.35" customHeight="1" x14ac:dyDescent="0.25">
      <c r="B3259" s="23"/>
      <c r="C3259" s="2" t="s">
        <v>2387</v>
      </c>
      <c r="D3259" s="45" t="s">
        <v>2388</v>
      </c>
      <c r="E3259" s="46"/>
      <c r="F3259" s="46"/>
      <c r="G3259" s="46"/>
      <c r="H3259" s="46"/>
      <c r="I3259" s="47"/>
    </row>
    <row r="3260" spans="2:9" x14ac:dyDescent="0.25">
      <c r="B3260" s="23"/>
      <c r="I3260" s="26"/>
    </row>
    <row r="3261" spans="2:9" x14ac:dyDescent="0.25">
      <c r="B3261" s="23"/>
      <c r="C3261" s="51" t="s">
        <v>55</v>
      </c>
      <c r="D3261" s="46"/>
      <c r="E3261" s="46"/>
      <c r="F3261" s="46"/>
      <c r="G3261" s="46"/>
      <c r="H3261" s="46"/>
      <c r="I3261" s="47"/>
    </row>
    <row r="3262" spans="2:9" x14ac:dyDescent="0.25">
      <c r="B3262" s="23"/>
      <c r="I3262" s="26"/>
    </row>
    <row r="3263" spans="2:9" ht="19.899999999999999" customHeight="1" x14ac:dyDescent="0.25">
      <c r="B3263" s="24" t="s">
        <v>2391</v>
      </c>
      <c r="C3263" s="18" t="s">
        <v>49</v>
      </c>
      <c r="D3263" s="52" t="s">
        <v>2392</v>
      </c>
      <c r="E3263" s="53"/>
      <c r="F3263" s="53"/>
      <c r="G3263" s="53"/>
      <c r="H3263" s="53"/>
      <c r="I3263" s="54"/>
    </row>
    <row r="3264" spans="2:9" ht="19.899999999999999" customHeight="1" x14ac:dyDescent="0.25">
      <c r="B3264" s="23"/>
      <c r="C3264" s="2" t="s">
        <v>2383</v>
      </c>
      <c r="D3264" s="45" t="s">
        <v>2384</v>
      </c>
      <c r="E3264" s="46"/>
      <c r="F3264" s="46"/>
      <c r="G3264" s="46"/>
      <c r="H3264" s="46"/>
      <c r="I3264" s="47"/>
    </row>
    <row r="3265" spans="2:9" ht="34.35" customHeight="1" x14ac:dyDescent="0.25">
      <c r="B3265" s="23"/>
      <c r="C3265" s="2" t="s">
        <v>2385</v>
      </c>
      <c r="D3265" s="45" t="s">
        <v>2386</v>
      </c>
      <c r="E3265" s="46"/>
      <c r="F3265" s="46"/>
      <c r="G3265" s="46"/>
      <c r="H3265" s="46"/>
      <c r="I3265" s="47"/>
    </row>
    <row r="3266" spans="2:9" ht="34.35" customHeight="1" x14ac:dyDescent="0.25">
      <c r="B3266" s="23"/>
      <c r="C3266" s="2" t="s">
        <v>2387</v>
      </c>
      <c r="D3266" s="45" t="s">
        <v>2388</v>
      </c>
      <c r="E3266" s="46"/>
      <c r="F3266" s="46"/>
      <c r="G3266" s="46"/>
      <c r="H3266" s="46"/>
      <c r="I3266" s="47"/>
    </row>
    <row r="3267" spans="2:9" x14ac:dyDescent="0.25">
      <c r="B3267" s="23"/>
      <c r="I3267" s="26"/>
    </row>
    <row r="3268" spans="2:9" x14ac:dyDescent="0.25">
      <c r="B3268" s="23"/>
      <c r="C3268" s="51" t="s">
        <v>55</v>
      </c>
      <c r="D3268" s="46"/>
      <c r="E3268" s="46"/>
      <c r="F3268" s="46"/>
      <c r="G3268" s="46"/>
      <c r="H3268" s="46"/>
      <c r="I3268" s="47"/>
    </row>
    <row r="3269" spans="2:9" x14ac:dyDescent="0.25">
      <c r="B3269" s="23"/>
      <c r="I3269" s="26"/>
    </row>
    <row r="3270" spans="2:9" ht="19.899999999999999" customHeight="1" x14ac:dyDescent="0.25">
      <c r="B3270" s="24" t="s">
        <v>2393</v>
      </c>
      <c r="C3270" s="18" t="s">
        <v>49</v>
      </c>
      <c r="D3270" s="52" t="s">
        <v>2394</v>
      </c>
      <c r="E3270" s="53"/>
      <c r="F3270" s="53"/>
      <c r="G3270" s="53"/>
      <c r="H3270" s="53"/>
      <c r="I3270" s="54"/>
    </row>
    <row r="3271" spans="2:9" ht="19.899999999999999" customHeight="1" x14ac:dyDescent="0.25">
      <c r="B3271" s="23"/>
      <c r="C3271" s="2" t="s">
        <v>2383</v>
      </c>
      <c r="D3271" s="45" t="s">
        <v>2384</v>
      </c>
      <c r="E3271" s="46"/>
      <c r="F3271" s="46"/>
      <c r="G3271" s="46"/>
      <c r="H3271" s="46"/>
      <c r="I3271" s="47"/>
    </row>
    <row r="3272" spans="2:9" ht="34.35" customHeight="1" x14ac:dyDescent="0.25">
      <c r="B3272" s="23"/>
      <c r="C3272" s="2" t="s">
        <v>2385</v>
      </c>
      <c r="D3272" s="45" t="s">
        <v>2386</v>
      </c>
      <c r="E3272" s="46"/>
      <c r="F3272" s="46"/>
      <c r="G3272" s="46"/>
      <c r="H3272" s="46"/>
      <c r="I3272" s="47"/>
    </row>
    <row r="3273" spans="2:9" ht="34.35" customHeight="1" x14ac:dyDescent="0.25">
      <c r="B3273" s="23"/>
      <c r="C3273" s="2" t="s">
        <v>2387</v>
      </c>
      <c r="D3273" s="45" t="s">
        <v>2388</v>
      </c>
      <c r="E3273" s="46"/>
      <c r="F3273" s="46"/>
      <c r="G3273" s="46"/>
      <c r="H3273" s="46"/>
      <c r="I3273" s="47"/>
    </row>
    <row r="3274" spans="2:9" x14ac:dyDescent="0.25">
      <c r="B3274" s="23"/>
      <c r="I3274" s="26"/>
    </row>
    <row r="3275" spans="2:9" x14ac:dyDescent="0.25">
      <c r="B3275" s="23"/>
      <c r="C3275" s="51" t="s">
        <v>55</v>
      </c>
      <c r="D3275" s="46"/>
      <c r="E3275" s="46"/>
      <c r="F3275" s="46"/>
      <c r="G3275" s="46"/>
      <c r="H3275" s="46"/>
      <c r="I3275" s="47"/>
    </row>
    <row r="3276" spans="2:9" x14ac:dyDescent="0.25">
      <c r="B3276" s="23"/>
      <c r="I3276" s="26"/>
    </row>
    <row r="3277" spans="2:9" ht="19.899999999999999" customHeight="1" x14ac:dyDescent="0.25">
      <c r="B3277" s="24" t="s">
        <v>2395</v>
      </c>
      <c r="C3277" s="18" t="s">
        <v>49</v>
      </c>
      <c r="D3277" s="52" t="s">
        <v>2396</v>
      </c>
      <c r="E3277" s="53"/>
      <c r="F3277" s="53"/>
      <c r="G3277" s="53"/>
      <c r="H3277" s="53"/>
      <c r="I3277" s="54"/>
    </row>
    <row r="3278" spans="2:9" ht="19.899999999999999" customHeight="1" x14ac:dyDescent="0.25">
      <c r="B3278" s="23"/>
      <c r="C3278" s="2" t="s">
        <v>2383</v>
      </c>
      <c r="D3278" s="45" t="s">
        <v>2384</v>
      </c>
      <c r="E3278" s="46"/>
      <c r="F3278" s="46"/>
      <c r="G3278" s="46"/>
      <c r="H3278" s="46"/>
      <c r="I3278" s="47"/>
    </row>
    <row r="3279" spans="2:9" ht="34.35" customHeight="1" x14ac:dyDescent="0.25">
      <c r="B3279" s="23"/>
      <c r="C3279" s="2" t="s">
        <v>2385</v>
      </c>
      <c r="D3279" s="45" t="s">
        <v>2386</v>
      </c>
      <c r="E3279" s="46"/>
      <c r="F3279" s="46"/>
      <c r="G3279" s="46"/>
      <c r="H3279" s="46"/>
      <c r="I3279" s="47"/>
    </row>
    <row r="3280" spans="2:9" ht="34.35" customHeight="1" x14ac:dyDescent="0.25">
      <c r="B3280" s="23"/>
      <c r="C3280" s="2" t="s">
        <v>2387</v>
      </c>
      <c r="D3280" s="45" t="s">
        <v>2388</v>
      </c>
      <c r="E3280" s="46"/>
      <c r="F3280" s="46"/>
      <c r="G3280" s="46"/>
      <c r="H3280" s="46"/>
      <c r="I3280" s="47"/>
    </row>
    <row r="3281" spans="1:9" x14ac:dyDescent="0.25">
      <c r="B3281" s="23"/>
      <c r="I3281" s="26"/>
    </row>
    <row r="3282" spans="1:9" x14ac:dyDescent="0.25">
      <c r="B3282" s="23"/>
      <c r="C3282" s="51" t="s">
        <v>55</v>
      </c>
      <c r="D3282" s="46"/>
      <c r="E3282" s="46"/>
      <c r="F3282" s="46"/>
      <c r="G3282" s="46"/>
      <c r="H3282" s="46"/>
      <c r="I3282" s="47"/>
    </row>
    <row r="3283" spans="1:9" x14ac:dyDescent="0.25">
      <c r="B3283" s="25"/>
      <c r="C3283" s="21"/>
      <c r="D3283" s="21"/>
      <c r="E3283" s="21"/>
      <c r="F3283" s="21"/>
      <c r="G3283" s="21"/>
      <c r="H3283" s="21"/>
      <c r="I3283" s="27"/>
    </row>
    <row r="3287" spans="1:9" ht="19.899999999999999" customHeight="1" x14ac:dyDescent="0.25">
      <c r="A3287" s="45" t="s">
        <v>42</v>
      </c>
      <c r="B3287" s="46"/>
      <c r="C3287" s="46"/>
      <c r="D3287" s="46"/>
      <c r="E3287" s="46"/>
      <c r="F3287" s="46"/>
      <c r="G3287" s="46"/>
      <c r="H3287" s="46"/>
      <c r="I3287" s="46"/>
    </row>
    <row r="3288" spans="1:9" ht="18.75" x14ac:dyDescent="0.25">
      <c r="A3288" s="16" t="s">
        <v>2397</v>
      </c>
      <c r="B3288" s="3" t="s">
        <v>47</v>
      </c>
    </row>
    <row r="3289" spans="1:9" ht="19.899999999999999" customHeight="1" x14ac:dyDescent="0.25">
      <c r="B3289" s="22" t="s">
        <v>2398</v>
      </c>
      <c r="C3289" s="32" t="s">
        <v>220</v>
      </c>
      <c r="D3289" s="42" t="s">
        <v>2399</v>
      </c>
      <c r="E3289" s="43"/>
      <c r="F3289" s="43"/>
      <c r="G3289" s="43"/>
      <c r="H3289" s="43"/>
      <c r="I3289" s="44"/>
    </row>
    <row r="3290" spans="1:9" x14ac:dyDescent="0.25">
      <c r="B3290" s="23"/>
      <c r="C3290" s="2" t="s">
        <v>222</v>
      </c>
      <c r="I3290" s="26"/>
    </row>
    <row r="3291" spans="1:9" x14ac:dyDescent="0.25">
      <c r="B3291" s="23"/>
      <c r="I3291" s="26"/>
    </row>
    <row r="3292" spans="1:9" x14ac:dyDescent="0.25">
      <c r="B3292" s="23"/>
      <c r="C3292" s="51" t="s">
        <v>55</v>
      </c>
      <c r="D3292" s="46"/>
      <c r="E3292" s="46"/>
      <c r="F3292" s="46"/>
      <c r="G3292" s="46"/>
      <c r="H3292" s="46"/>
      <c r="I3292" s="47"/>
    </row>
    <row r="3293" spans="1:9" x14ac:dyDescent="0.25">
      <c r="B3293" s="23"/>
      <c r="I3293" s="26"/>
    </row>
    <row r="3294" spans="1:9" ht="19.899999999999999" customHeight="1" x14ac:dyDescent="0.25">
      <c r="B3294" s="24" t="s">
        <v>2400</v>
      </c>
      <c r="C3294" s="18" t="s">
        <v>485</v>
      </c>
      <c r="D3294" s="52" t="s">
        <v>2401</v>
      </c>
      <c r="E3294" s="53"/>
      <c r="F3294" s="53"/>
      <c r="G3294" s="53"/>
      <c r="H3294" s="53"/>
      <c r="I3294" s="54"/>
    </row>
    <row r="3295" spans="1:9" ht="19.899999999999999" customHeight="1" x14ac:dyDescent="0.25">
      <c r="B3295" s="23"/>
      <c r="C3295" s="2" t="s">
        <v>1422</v>
      </c>
      <c r="D3295" s="45" t="s">
        <v>2402</v>
      </c>
      <c r="E3295" s="46"/>
      <c r="F3295" s="46"/>
      <c r="G3295" s="46"/>
      <c r="H3295" s="46"/>
      <c r="I3295" s="47"/>
    </row>
    <row r="3296" spans="1:9" ht="19.899999999999999" customHeight="1" x14ac:dyDescent="0.25">
      <c r="B3296" s="23"/>
      <c r="C3296" s="2" t="s">
        <v>1420</v>
      </c>
      <c r="D3296" s="45" t="s">
        <v>2403</v>
      </c>
      <c r="E3296" s="46"/>
      <c r="F3296" s="46"/>
      <c r="G3296" s="46"/>
      <c r="H3296" s="46"/>
      <c r="I3296" s="47"/>
    </row>
    <row r="3297" spans="1:9" ht="19.899999999999999" customHeight="1" x14ac:dyDescent="0.25">
      <c r="B3297" s="23"/>
      <c r="C3297" s="2" t="s">
        <v>1256</v>
      </c>
      <c r="D3297" s="45" t="s">
        <v>2404</v>
      </c>
      <c r="E3297" s="46"/>
      <c r="F3297" s="46"/>
      <c r="G3297" s="46"/>
      <c r="H3297" s="46"/>
      <c r="I3297" s="47"/>
    </row>
    <row r="3298" spans="1:9" x14ac:dyDescent="0.25">
      <c r="B3298" s="23"/>
      <c r="I3298" s="26"/>
    </row>
    <row r="3299" spans="1:9" x14ac:dyDescent="0.25">
      <c r="B3299" s="23"/>
      <c r="C3299" s="51" t="s">
        <v>55</v>
      </c>
      <c r="D3299" s="46"/>
      <c r="E3299" s="46"/>
      <c r="F3299" s="46"/>
      <c r="G3299" s="46"/>
      <c r="H3299" s="46"/>
      <c r="I3299" s="47"/>
    </row>
    <row r="3300" spans="1:9" x14ac:dyDescent="0.25">
      <c r="B3300" s="25"/>
      <c r="C3300" s="21"/>
      <c r="D3300" s="21"/>
      <c r="E3300" s="21"/>
      <c r="F3300" s="21"/>
      <c r="G3300" s="21"/>
      <c r="H3300" s="21"/>
      <c r="I3300" s="27"/>
    </row>
    <row r="3304" spans="1:9" ht="19.899999999999999" customHeight="1" x14ac:dyDescent="0.25">
      <c r="A3304" s="45" t="s">
        <v>43</v>
      </c>
      <c r="B3304" s="46"/>
      <c r="C3304" s="46"/>
      <c r="D3304" s="46"/>
      <c r="E3304" s="46"/>
      <c r="F3304" s="46"/>
      <c r="G3304" s="46"/>
      <c r="H3304" s="46"/>
      <c r="I3304" s="46"/>
    </row>
    <row r="3305" spans="1:9" ht="18.75" x14ac:dyDescent="0.25">
      <c r="A3305" s="16" t="s">
        <v>2405</v>
      </c>
      <c r="B3305" s="3" t="s">
        <v>47</v>
      </c>
    </row>
    <row r="3306" spans="1:9" ht="19.899999999999999" customHeight="1" x14ac:dyDescent="0.25">
      <c r="B3306" s="22" t="s">
        <v>2398</v>
      </c>
      <c r="C3306" s="32" t="s">
        <v>220</v>
      </c>
      <c r="D3306" s="42" t="s">
        <v>2406</v>
      </c>
      <c r="E3306" s="43"/>
      <c r="F3306" s="43"/>
      <c r="G3306" s="43"/>
      <c r="H3306" s="43"/>
      <c r="I3306" s="44"/>
    </row>
    <row r="3307" spans="1:9" x14ac:dyDescent="0.25">
      <c r="B3307" s="23"/>
      <c r="C3307" s="2" t="s">
        <v>222</v>
      </c>
      <c r="I3307" s="26"/>
    </row>
    <row r="3308" spans="1:9" x14ac:dyDescent="0.25">
      <c r="B3308" s="23"/>
      <c r="I3308" s="26"/>
    </row>
    <row r="3309" spans="1:9" x14ac:dyDescent="0.25">
      <c r="B3309" s="23"/>
      <c r="C3309" s="51" t="s">
        <v>55</v>
      </c>
      <c r="D3309" s="46"/>
      <c r="E3309" s="46"/>
      <c r="F3309" s="46"/>
      <c r="G3309" s="46"/>
      <c r="H3309" s="46"/>
      <c r="I3309" s="47"/>
    </row>
    <row r="3310" spans="1:9" x14ac:dyDescent="0.25">
      <c r="B3310" s="23"/>
      <c r="I3310" s="26"/>
    </row>
    <row r="3311" spans="1:9" ht="19.899999999999999" customHeight="1" x14ac:dyDescent="0.25">
      <c r="B3311" s="24" t="s">
        <v>2400</v>
      </c>
      <c r="C3311" s="18" t="s">
        <v>485</v>
      </c>
      <c r="D3311" s="52" t="s">
        <v>2407</v>
      </c>
      <c r="E3311" s="53"/>
      <c r="F3311" s="53"/>
      <c r="G3311" s="53"/>
      <c r="H3311" s="53"/>
      <c r="I3311" s="54"/>
    </row>
    <row r="3312" spans="1:9" ht="19.899999999999999" customHeight="1" x14ac:dyDescent="0.25">
      <c r="B3312" s="23"/>
      <c r="C3312" s="2" t="s">
        <v>1256</v>
      </c>
      <c r="D3312" s="45" t="s">
        <v>1257</v>
      </c>
      <c r="E3312" s="46"/>
      <c r="F3312" s="46"/>
      <c r="G3312" s="46"/>
      <c r="H3312" s="46"/>
      <c r="I3312" s="47"/>
    </row>
    <row r="3313" spans="1:9" ht="19.899999999999999" customHeight="1" x14ac:dyDescent="0.25">
      <c r="B3313" s="23"/>
      <c r="C3313" s="2" t="s">
        <v>1258</v>
      </c>
      <c r="D3313" s="45" t="s">
        <v>1259</v>
      </c>
      <c r="E3313" s="46"/>
      <c r="F3313" s="46"/>
      <c r="G3313" s="46"/>
      <c r="H3313" s="46"/>
      <c r="I3313" s="47"/>
    </row>
    <row r="3314" spans="1:9" ht="19.899999999999999" customHeight="1" x14ac:dyDescent="0.25">
      <c r="B3314" s="23"/>
      <c r="C3314" s="2" t="s">
        <v>476</v>
      </c>
      <c r="D3314" s="45" t="s">
        <v>1260</v>
      </c>
      <c r="E3314" s="46"/>
      <c r="F3314" s="46"/>
      <c r="G3314" s="46"/>
      <c r="H3314" s="46"/>
      <c r="I3314" s="47"/>
    </row>
    <row r="3315" spans="1:9" x14ac:dyDescent="0.25">
      <c r="B3315" s="23"/>
      <c r="I3315" s="26"/>
    </row>
    <row r="3316" spans="1:9" x14ac:dyDescent="0.25">
      <c r="B3316" s="23"/>
      <c r="C3316" s="51" t="s">
        <v>55</v>
      </c>
      <c r="D3316" s="46"/>
      <c r="E3316" s="46"/>
      <c r="F3316" s="46"/>
      <c r="G3316" s="46"/>
      <c r="H3316" s="46"/>
      <c r="I3316" s="47"/>
    </row>
    <row r="3317" spans="1:9" x14ac:dyDescent="0.25">
      <c r="B3317" s="25"/>
      <c r="C3317" s="21"/>
      <c r="D3317" s="21"/>
      <c r="E3317" s="21"/>
      <c r="F3317" s="21"/>
      <c r="G3317" s="21"/>
      <c r="H3317" s="21"/>
      <c r="I3317" s="27"/>
    </row>
    <row r="3321" spans="1:9" ht="19.899999999999999" customHeight="1" x14ac:dyDescent="0.25">
      <c r="A3321" s="45" t="s">
        <v>44</v>
      </c>
      <c r="B3321" s="46"/>
      <c r="C3321" s="46"/>
      <c r="D3321" s="46"/>
      <c r="E3321" s="46"/>
      <c r="F3321" s="46"/>
      <c r="G3321" s="46"/>
      <c r="H3321" s="46"/>
      <c r="I3321" s="46"/>
    </row>
    <row r="3322" spans="1:9" ht="18.75" x14ac:dyDescent="0.25">
      <c r="A3322" s="16" t="s">
        <v>2408</v>
      </c>
      <c r="B3322" s="3" t="s">
        <v>47</v>
      </c>
    </row>
    <row r="3323" spans="1:9" ht="19.899999999999999" customHeight="1" x14ac:dyDescent="0.25">
      <c r="B3323" s="22" t="s">
        <v>2409</v>
      </c>
      <c r="C3323" s="32" t="s">
        <v>220</v>
      </c>
      <c r="D3323" s="42" t="s">
        <v>2410</v>
      </c>
      <c r="E3323" s="43"/>
      <c r="F3323" s="43"/>
      <c r="G3323" s="43"/>
      <c r="H3323" s="43"/>
      <c r="I3323" s="44"/>
    </row>
    <row r="3324" spans="1:9" x14ac:dyDescent="0.25">
      <c r="B3324" s="23"/>
      <c r="C3324" s="2" t="s">
        <v>222</v>
      </c>
      <c r="I3324" s="26"/>
    </row>
    <row r="3325" spans="1:9" x14ac:dyDescent="0.25">
      <c r="B3325" s="23"/>
      <c r="I3325" s="26"/>
    </row>
    <row r="3326" spans="1:9" x14ac:dyDescent="0.25">
      <c r="B3326" s="23"/>
      <c r="C3326" s="51" t="s">
        <v>55</v>
      </c>
      <c r="D3326" s="46"/>
      <c r="E3326" s="46"/>
      <c r="F3326" s="46"/>
      <c r="G3326" s="46"/>
      <c r="H3326" s="46"/>
      <c r="I3326" s="47"/>
    </row>
    <row r="3327" spans="1:9" x14ac:dyDescent="0.25">
      <c r="B3327" s="23"/>
      <c r="I3327" s="26"/>
    </row>
    <row r="3328" spans="1:9" ht="63.4" customHeight="1" x14ac:dyDescent="0.25">
      <c r="B3328" s="24" t="s">
        <v>2297</v>
      </c>
      <c r="C3328" s="18" t="s">
        <v>2298</v>
      </c>
      <c r="D3328" s="52" t="s">
        <v>2411</v>
      </c>
      <c r="E3328" s="53"/>
      <c r="F3328" s="53"/>
      <c r="G3328" s="53"/>
      <c r="H3328" s="53"/>
      <c r="I3328" s="54"/>
    </row>
    <row r="3329" spans="1:9" ht="19.899999999999999" customHeight="1" x14ac:dyDescent="0.25">
      <c r="B3329" s="23"/>
      <c r="C3329" s="2" t="s">
        <v>1429</v>
      </c>
      <c r="D3329" s="45" t="s">
        <v>2412</v>
      </c>
      <c r="E3329" s="46"/>
      <c r="F3329" s="46"/>
      <c r="G3329" s="46"/>
      <c r="H3329" s="46"/>
      <c r="I3329" s="47"/>
    </row>
    <row r="3330" spans="1:9" ht="19.899999999999999" customHeight="1" x14ac:dyDescent="0.25">
      <c r="B3330" s="23"/>
      <c r="C3330" s="2" t="s">
        <v>2301</v>
      </c>
      <c r="D3330" s="45" t="s">
        <v>2413</v>
      </c>
      <c r="E3330" s="46"/>
      <c r="F3330" s="46"/>
      <c r="G3330" s="46"/>
      <c r="H3330" s="46"/>
      <c r="I3330" s="47"/>
    </row>
    <row r="3331" spans="1:9" ht="34.35" customHeight="1" x14ac:dyDescent="0.25">
      <c r="B3331" s="23"/>
      <c r="C3331" s="2" t="s">
        <v>2303</v>
      </c>
      <c r="D3331" s="45" t="s">
        <v>2304</v>
      </c>
      <c r="E3331" s="46"/>
      <c r="F3331" s="46"/>
      <c r="G3331" s="46"/>
      <c r="H3331" s="46"/>
      <c r="I3331" s="47"/>
    </row>
    <row r="3332" spans="1:9" ht="19.899999999999999" customHeight="1" x14ac:dyDescent="0.25">
      <c r="B3332" s="23"/>
      <c r="C3332" s="2" t="s">
        <v>2305</v>
      </c>
      <c r="D3332" s="45" t="s">
        <v>2306</v>
      </c>
      <c r="E3332" s="46"/>
      <c r="F3332" s="46"/>
      <c r="G3332" s="46"/>
      <c r="H3332" s="46"/>
      <c r="I3332" s="47"/>
    </row>
    <row r="3333" spans="1:9" ht="19.899999999999999" customHeight="1" x14ac:dyDescent="0.25">
      <c r="B3333" s="23"/>
      <c r="C3333" s="2" t="s">
        <v>1299</v>
      </c>
      <c r="D3333" s="45" t="s">
        <v>2414</v>
      </c>
      <c r="E3333" s="46"/>
      <c r="F3333" s="46"/>
      <c r="G3333" s="46"/>
      <c r="H3333" s="46"/>
      <c r="I3333" s="47"/>
    </row>
    <row r="3334" spans="1:9" ht="19.899999999999999" customHeight="1" x14ac:dyDescent="0.25">
      <c r="B3334" s="23"/>
      <c r="C3334" s="2" t="s">
        <v>2310</v>
      </c>
      <c r="D3334" s="45" t="s">
        <v>2311</v>
      </c>
      <c r="E3334" s="46"/>
      <c r="F3334" s="46"/>
      <c r="G3334" s="46"/>
      <c r="H3334" s="46"/>
      <c r="I3334" s="47"/>
    </row>
    <row r="3335" spans="1:9" ht="34.35" customHeight="1" x14ac:dyDescent="0.25">
      <c r="B3335" s="23"/>
      <c r="C3335" s="2" t="s">
        <v>2307</v>
      </c>
      <c r="D3335" s="45" t="s">
        <v>2308</v>
      </c>
      <c r="E3335" s="46"/>
      <c r="F3335" s="46"/>
      <c r="G3335" s="46"/>
      <c r="H3335" s="46"/>
      <c r="I3335" s="47"/>
    </row>
    <row r="3336" spans="1:9" ht="34.35" customHeight="1" x14ac:dyDescent="0.25">
      <c r="B3336" s="23"/>
      <c r="C3336" s="2" t="s">
        <v>1060</v>
      </c>
      <c r="D3336" s="45" t="s">
        <v>2415</v>
      </c>
      <c r="E3336" s="46"/>
      <c r="F3336" s="46"/>
      <c r="G3336" s="46"/>
      <c r="H3336" s="46"/>
      <c r="I3336" s="47"/>
    </row>
    <row r="3337" spans="1:9" ht="19.899999999999999" customHeight="1" x14ac:dyDescent="0.25">
      <c r="B3337" s="23"/>
      <c r="C3337" s="2" t="s">
        <v>532</v>
      </c>
      <c r="D3337" s="45" t="s">
        <v>2416</v>
      </c>
      <c r="E3337" s="46"/>
      <c r="F3337" s="46"/>
      <c r="G3337" s="46"/>
      <c r="H3337" s="46"/>
      <c r="I3337" s="47"/>
    </row>
    <row r="3338" spans="1:9" x14ac:dyDescent="0.25">
      <c r="B3338" s="23"/>
      <c r="I3338" s="26"/>
    </row>
    <row r="3339" spans="1:9" x14ac:dyDescent="0.25">
      <c r="B3339" s="23"/>
      <c r="C3339" s="55" t="s">
        <v>60</v>
      </c>
      <c r="D3339" s="46"/>
      <c r="E3339" s="46"/>
      <c r="F3339" s="46"/>
      <c r="G3339" s="46"/>
      <c r="H3339" s="46"/>
      <c r="I3339" s="47"/>
    </row>
    <row r="3340" spans="1:9" x14ac:dyDescent="0.25">
      <c r="B3340" s="25"/>
      <c r="C3340" s="21"/>
      <c r="D3340" s="21"/>
      <c r="E3340" s="21"/>
      <c r="F3340" s="21"/>
      <c r="G3340" s="21"/>
      <c r="H3340" s="21"/>
      <c r="I3340" s="27"/>
    </row>
    <row r="3344" spans="1:9" ht="19.899999999999999" customHeight="1" x14ac:dyDescent="0.25">
      <c r="A3344" s="45" t="s">
        <v>38</v>
      </c>
      <c r="B3344" s="46"/>
      <c r="C3344" s="46"/>
      <c r="D3344" s="46"/>
      <c r="E3344" s="46"/>
      <c r="F3344" s="46"/>
      <c r="G3344" s="46"/>
      <c r="H3344" s="46"/>
      <c r="I3344" s="46"/>
    </row>
    <row r="3345" spans="1:9" ht="18.75" x14ac:dyDescent="0.25">
      <c r="A3345" s="16" t="s">
        <v>2323</v>
      </c>
      <c r="B3345" s="3" t="s">
        <v>47</v>
      </c>
    </row>
    <row r="3346" spans="1:9" ht="19.899999999999999" customHeight="1" x14ac:dyDescent="0.25">
      <c r="B3346" s="22" t="s">
        <v>2324</v>
      </c>
      <c r="C3346" s="20" t="s">
        <v>49</v>
      </c>
      <c r="D3346" s="42" t="s">
        <v>2325</v>
      </c>
      <c r="E3346" s="43"/>
      <c r="F3346" s="43"/>
      <c r="G3346" s="43"/>
      <c r="H3346" s="43"/>
      <c r="I3346" s="44"/>
    </row>
    <row r="3347" spans="1:9" ht="19.899999999999999" customHeight="1" x14ac:dyDescent="0.25">
      <c r="B3347" s="23"/>
      <c r="C3347" s="2" t="s">
        <v>657</v>
      </c>
      <c r="D3347" s="45" t="s">
        <v>2326</v>
      </c>
      <c r="E3347" s="46"/>
      <c r="F3347" s="46"/>
      <c r="G3347" s="46"/>
      <c r="H3347" s="46"/>
      <c r="I3347" s="47"/>
    </row>
    <row r="3348" spans="1:9" ht="19.899999999999999" customHeight="1" x14ac:dyDescent="0.25">
      <c r="B3348" s="23"/>
      <c r="C3348" s="2" t="s">
        <v>659</v>
      </c>
      <c r="D3348" s="45" t="s">
        <v>2327</v>
      </c>
      <c r="E3348" s="46"/>
      <c r="F3348" s="46"/>
      <c r="G3348" s="46"/>
      <c r="H3348" s="46"/>
      <c r="I3348" s="47"/>
    </row>
    <row r="3349" spans="1:9" ht="19.899999999999999" customHeight="1" x14ac:dyDescent="0.25">
      <c r="B3349" s="23"/>
      <c r="C3349" s="2" t="s">
        <v>661</v>
      </c>
      <c r="D3349" s="45" t="s">
        <v>2328</v>
      </c>
      <c r="E3349" s="46"/>
      <c r="F3349" s="46"/>
      <c r="G3349" s="46"/>
      <c r="H3349" s="46"/>
      <c r="I3349" s="47"/>
    </row>
    <row r="3350" spans="1:9" ht="19.899999999999999" customHeight="1" x14ac:dyDescent="0.25">
      <c r="B3350" s="23"/>
      <c r="C3350" s="2" t="s">
        <v>663</v>
      </c>
      <c r="D3350" s="45" t="s">
        <v>2329</v>
      </c>
      <c r="E3350" s="46"/>
      <c r="F3350" s="46"/>
      <c r="G3350" s="46"/>
      <c r="H3350" s="46"/>
      <c r="I3350" s="47"/>
    </row>
    <row r="3351" spans="1:9" x14ac:dyDescent="0.25">
      <c r="B3351" s="23"/>
      <c r="I3351" s="26"/>
    </row>
    <row r="3352" spans="1:9" x14ac:dyDescent="0.25">
      <c r="B3352" s="23"/>
      <c r="C3352" s="51" t="s">
        <v>55</v>
      </c>
      <c r="D3352" s="46"/>
      <c r="E3352" s="46"/>
      <c r="F3352" s="46"/>
      <c r="G3352" s="46"/>
      <c r="H3352" s="46"/>
      <c r="I3352" s="47"/>
    </row>
    <row r="3353" spans="1:9" x14ac:dyDescent="0.25">
      <c r="B3353" s="23"/>
      <c r="I3353" s="26"/>
    </row>
    <row r="3354" spans="1:9" ht="19.899999999999999" customHeight="1" x14ac:dyDescent="0.25">
      <c r="B3354" s="24" t="s">
        <v>2330</v>
      </c>
      <c r="C3354" s="18" t="s">
        <v>49</v>
      </c>
      <c r="D3354" s="52" t="s">
        <v>2331</v>
      </c>
      <c r="E3354" s="53"/>
      <c r="F3354" s="53"/>
      <c r="G3354" s="53"/>
      <c r="H3354" s="53"/>
      <c r="I3354" s="54"/>
    </row>
    <row r="3355" spans="1:9" ht="19.899999999999999" customHeight="1" x14ac:dyDescent="0.25">
      <c r="B3355" s="23"/>
      <c r="C3355" s="2" t="s">
        <v>657</v>
      </c>
      <c r="D3355" s="45" t="s">
        <v>2332</v>
      </c>
      <c r="E3355" s="46"/>
      <c r="F3355" s="46"/>
      <c r="G3355" s="46"/>
      <c r="H3355" s="46"/>
      <c r="I3355" s="47"/>
    </row>
    <row r="3356" spans="1:9" ht="19.899999999999999" customHeight="1" x14ac:dyDescent="0.25">
      <c r="B3356" s="23"/>
      <c r="C3356" s="2" t="s">
        <v>659</v>
      </c>
      <c r="D3356" s="45" t="s">
        <v>2333</v>
      </c>
      <c r="E3356" s="46"/>
      <c r="F3356" s="46"/>
      <c r="G3356" s="46"/>
      <c r="H3356" s="46"/>
      <c r="I3356" s="47"/>
    </row>
    <row r="3357" spans="1:9" ht="19.899999999999999" customHeight="1" x14ac:dyDescent="0.25">
      <c r="B3357" s="23"/>
      <c r="C3357" s="2" t="s">
        <v>661</v>
      </c>
      <c r="D3357" s="45" t="s">
        <v>2334</v>
      </c>
      <c r="E3357" s="46"/>
      <c r="F3357" s="46"/>
      <c r="G3357" s="46"/>
      <c r="H3357" s="46"/>
      <c r="I3357" s="47"/>
    </row>
    <row r="3358" spans="1:9" ht="19.899999999999999" customHeight="1" x14ac:dyDescent="0.25">
      <c r="B3358" s="23"/>
      <c r="C3358" s="2" t="s">
        <v>663</v>
      </c>
      <c r="D3358" s="45" t="s">
        <v>2335</v>
      </c>
      <c r="E3358" s="46"/>
      <c r="F3358" s="46"/>
      <c r="G3358" s="46"/>
      <c r="H3358" s="46"/>
      <c r="I3358" s="47"/>
    </row>
    <row r="3359" spans="1:9" x14ac:dyDescent="0.25">
      <c r="B3359" s="23"/>
      <c r="I3359" s="26"/>
    </row>
    <row r="3360" spans="1:9" x14ac:dyDescent="0.25">
      <c r="B3360" s="23"/>
      <c r="C3360" s="51" t="s">
        <v>55</v>
      </c>
      <c r="D3360" s="46"/>
      <c r="E3360" s="46"/>
      <c r="F3360" s="46"/>
      <c r="G3360" s="46"/>
      <c r="H3360" s="46"/>
      <c r="I3360" s="47"/>
    </row>
    <row r="3361" spans="2:9" x14ac:dyDescent="0.25">
      <c r="B3361" s="23"/>
      <c r="I3361" s="26"/>
    </row>
    <row r="3362" spans="2:9" ht="19.899999999999999" customHeight="1" x14ac:dyDescent="0.25">
      <c r="B3362" s="24" t="s">
        <v>2336</v>
      </c>
      <c r="C3362" s="18" t="s">
        <v>49</v>
      </c>
      <c r="D3362" s="52" t="s">
        <v>2337</v>
      </c>
      <c r="E3362" s="53"/>
      <c r="F3362" s="53"/>
      <c r="G3362" s="53"/>
      <c r="H3362" s="53"/>
      <c r="I3362" s="54"/>
    </row>
    <row r="3363" spans="2:9" ht="19.899999999999999" customHeight="1" x14ac:dyDescent="0.25">
      <c r="B3363" s="23"/>
      <c r="C3363" s="2" t="s">
        <v>657</v>
      </c>
      <c r="D3363" s="45" t="s">
        <v>2338</v>
      </c>
      <c r="E3363" s="46"/>
      <c r="F3363" s="46"/>
      <c r="G3363" s="46"/>
      <c r="H3363" s="46"/>
      <c r="I3363" s="47"/>
    </row>
    <row r="3364" spans="2:9" ht="19.899999999999999" customHeight="1" x14ac:dyDescent="0.25">
      <c r="B3364" s="23"/>
      <c r="C3364" s="2" t="s">
        <v>659</v>
      </c>
      <c r="D3364" s="45" t="s">
        <v>2339</v>
      </c>
      <c r="E3364" s="46"/>
      <c r="F3364" s="46"/>
      <c r="G3364" s="46"/>
      <c r="H3364" s="46"/>
      <c r="I3364" s="47"/>
    </row>
    <row r="3365" spans="2:9" ht="19.899999999999999" customHeight="1" x14ac:dyDescent="0.25">
      <c r="B3365" s="23"/>
      <c r="C3365" s="2" t="s">
        <v>661</v>
      </c>
      <c r="D3365" s="45" t="s">
        <v>2340</v>
      </c>
      <c r="E3365" s="46"/>
      <c r="F3365" s="46"/>
      <c r="G3365" s="46"/>
      <c r="H3365" s="46"/>
      <c r="I3365" s="47"/>
    </row>
    <row r="3366" spans="2:9" ht="19.899999999999999" customHeight="1" x14ac:dyDescent="0.25">
      <c r="B3366" s="23"/>
      <c r="C3366" s="2" t="s">
        <v>663</v>
      </c>
      <c r="D3366" s="45" t="s">
        <v>2341</v>
      </c>
      <c r="E3366" s="46"/>
      <c r="F3366" s="46"/>
      <c r="G3366" s="46"/>
      <c r="H3366" s="46"/>
      <c r="I3366" s="47"/>
    </row>
    <row r="3367" spans="2:9" x14ac:dyDescent="0.25">
      <c r="B3367" s="23"/>
      <c r="I3367" s="26"/>
    </row>
    <row r="3368" spans="2:9" x14ac:dyDescent="0.25">
      <c r="B3368" s="23"/>
      <c r="C3368" s="55" t="s">
        <v>60</v>
      </c>
      <c r="D3368" s="46"/>
      <c r="E3368" s="46"/>
      <c r="F3368" s="46"/>
      <c r="G3368" s="46"/>
      <c r="H3368" s="46"/>
      <c r="I3368" s="47"/>
    </row>
    <row r="3369" spans="2:9" x14ac:dyDescent="0.25">
      <c r="B3369" s="23"/>
      <c r="I3369" s="26"/>
    </row>
    <row r="3370" spans="2:9" ht="19.899999999999999" customHeight="1" x14ac:dyDescent="0.25">
      <c r="B3370" s="24" t="s">
        <v>2342</v>
      </c>
      <c r="C3370" s="18" t="s">
        <v>49</v>
      </c>
      <c r="D3370" s="52" t="s">
        <v>2343</v>
      </c>
      <c r="E3370" s="53"/>
      <c r="F3370" s="53"/>
      <c r="G3370" s="53"/>
      <c r="H3370" s="53"/>
      <c r="I3370" s="54"/>
    </row>
    <row r="3371" spans="2:9" ht="19.899999999999999" customHeight="1" x14ac:dyDescent="0.25">
      <c r="B3371" s="23"/>
      <c r="C3371" s="2" t="s">
        <v>657</v>
      </c>
      <c r="D3371" s="45" t="s">
        <v>2344</v>
      </c>
      <c r="E3371" s="46"/>
      <c r="F3371" s="46"/>
      <c r="G3371" s="46"/>
      <c r="H3371" s="46"/>
      <c r="I3371" s="47"/>
    </row>
    <row r="3372" spans="2:9" ht="19.899999999999999" customHeight="1" x14ac:dyDescent="0.25">
      <c r="B3372" s="23"/>
      <c r="C3372" s="2" t="s">
        <v>659</v>
      </c>
      <c r="D3372" s="45" t="s">
        <v>2345</v>
      </c>
      <c r="E3372" s="46"/>
      <c r="F3372" s="46"/>
      <c r="G3372" s="46"/>
      <c r="H3372" s="46"/>
      <c r="I3372" s="47"/>
    </row>
    <row r="3373" spans="2:9" ht="19.899999999999999" customHeight="1" x14ac:dyDescent="0.25">
      <c r="B3373" s="23"/>
      <c r="C3373" s="2" t="s">
        <v>661</v>
      </c>
      <c r="D3373" s="45" t="s">
        <v>2346</v>
      </c>
      <c r="E3373" s="46"/>
      <c r="F3373" s="46"/>
      <c r="G3373" s="46"/>
      <c r="H3373" s="46"/>
      <c r="I3373" s="47"/>
    </row>
    <row r="3374" spans="2:9" ht="34.35" customHeight="1" x14ac:dyDescent="0.25">
      <c r="B3374" s="23"/>
      <c r="C3374" s="2" t="s">
        <v>663</v>
      </c>
      <c r="D3374" s="45" t="s">
        <v>2347</v>
      </c>
      <c r="E3374" s="46"/>
      <c r="F3374" s="46"/>
      <c r="G3374" s="46"/>
      <c r="H3374" s="46"/>
      <c r="I3374" s="47"/>
    </row>
    <row r="3375" spans="2:9" x14ac:dyDescent="0.25">
      <c r="B3375" s="23"/>
      <c r="I3375" s="26"/>
    </row>
    <row r="3376" spans="2:9" x14ac:dyDescent="0.25">
      <c r="B3376" s="23"/>
      <c r="C3376" s="55" t="s">
        <v>60</v>
      </c>
      <c r="D3376" s="46"/>
      <c r="E3376" s="46"/>
      <c r="F3376" s="46"/>
      <c r="G3376" s="46"/>
      <c r="H3376" s="46"/>
      <c r="I3376" s="47"/>
    </row>
    <row r="3377" spans="1:9" x14ac:dyDescent="0.25">
      <c r="B3377" s="25"/>
      <c r="C3377" s="21"/>
      <c r="D3377" s="21"/>
      <c r="E3377" s="21"/>
      <c r="F3377" s="21"/>
      <c r="G3377" s="21"/>
      <c r="H3377" s="21"/>
      <c r="I3377" s="27"/>
    </row>
    <row r="3381" spans="1:9" ht="19.899999999999999" customHeight="1" x14ac:dyDescent="0.25">
      <c r="A3381" s="45" t="s">
        <v>39</v>
      </c>
      <c r="B3381" s="46"/>
      <c r="C3381" s="46"/>
      <c r="D3381" s="46"/>
      <c r="E3381" s="46"/>
      <c r="F3381" s="46"/>
      <c r="G3381" s="46"/>
      <c r="H3381" s="46"/>
      <c r="I3381" s="46"/>
    </row>
    <row r="3382" spans="1:9" ht="18.75" x14ac:dyDescent="0.25">
      <c r="A3382" s="16" t="s">
        <v>2348</v>
      </c>
      <c r="B3382" s="3" t="s">
        <v>47</v>
      </c>
    </row>
    <row r="3383" spans="1:9" ht="19.899999999999999" customHeight="1" x14ac:dyDescent="0.25">
      <c r="B3383" s="22" t="s">
        <v>2324</v>
      </c>
      <c r="C3383" s="20" t="s">
        <v>49</v>
      </c>
      <c r="D3383" s="42" t="s">
        <v>2349</v>
      </c>
      <c r="E3383" s="43"/>
      <c r="F3383" s="43"/>
      <c r="G3383" s="43"/>
      <c r="H3383" s="43"/>
      <c r="I3383" s="44"/>
    </row>
    <row r="3384" spans="1:9" ht="48.95" customHeight="1" x14ac:dyDescent="0.25">
      <c r="B3384" s="23"/>
      <c r="C3384" s="2" t="s">
        <v>851</v>
      </c>
      <c r="D3384" s="45" t="s">
        <v>2350</v>
      </c>
      <c r="E3384" s="46"/>
      <c r="F3384" s="46"/>
      <c r="G3384" s="46"/>
      <c r="H3384" s="46"/>
      <c r="I3384" s="47"/>
    </row>
    <row r="3385" spans="1:9" ht="77.849999999999994" customHeight="1" x14ac:dyDescent="0.25">
      <c r="B3385" s="23"/>
      <c r="C3385" s="2" t="s">
        <v>657</v>
      </c>
      <c r="D3385" s="45" t="s">
        <v>2351</v>
      </c>
      <c r="E3385" s="46"/>
      <c r="F3385" s="46"/>
      <c r="G3385" s="46"/>
      <c r="H3385" s="46"/>
      <c r="I3385" s="47"/>
    </row>
    <row r="3386" spans="1:9" ht="77.849999999999994" customHeight="1" x14ac:dyDescent="0.25">
      <c r="B3386" s="23"/>
      <c r="C3386" s="2" t="s">
        <v>659</v>
      </c>
      <c r="D3386" s="45" t="s">
        <v>2352</v>
      </c>
      <c r="E3386" s="46"/>
      <c r="F3386" s="46"/>
      <c r="G3386" s="46"/>
      <c r="H3386" s="46"/>
      <c r="I3386" s="47"/>
    </row>
    <row r="3387" spans="1:9" x14ac:dyDescent="0.25">
      <c r="B3387" s="23"/>
      <c r="I3387" s="26"/>
    </row>
    <row r="3388" spans="1:9" x14ac:dyDescent="0.25">
      <c r="B3388" s="23"/>
      <c r="C3388" s="51" t="s">
        <v>55</v>
      </c>
      <c r="D3388" s="46"/>
      <c r="E3388" s="46"/>
      <c r="F3388" s="46"/>
      <c r="G3388" s="46"/>
      <c r="H3388" s="46"/>
      <c r="I3388" s="47"/>
    </row>
    <row r="3389" spans="1:9" x14ac:dyDescent="0.25">
      <c r="B3389" s="23"/>
      <c r="I3389" s="26"/>
    </row>
    <row r="3390" spans="1:9" ht="19.899999999999999" customHeight="1" x14ac:dyDescent="0.25">
      <c r="B3390" s="24" t="s">
        <v>2353</v>
      </c>
      <c r="C3390" s="18" t="s">
        <v>49</v>
      </c>
      <c r="D3390" s="52" t="s">
        <v>2354</v>
      </c>
      <c r="E3390" s="53"/>
      <c r="F3390" s="53"/>
      <c r="G3390" s="53"/>
      <c r="H3390" s="53"/>
      <c r="I3390" s="54"/>
    </row>
    <row r="3391" spans="1:9" ht="77.849999999999994" customHeight="1" x14ac:dyDescent="0.25">
      <c r="B3391" s="23"/>
      <c r="C3391" s="2" t="s">
        <v>851</v>
      </c>
      <c r="D3391" s="45" t="s">
        <v>2355</v>
      </c>
      <c r="E3391" s="46"/>
      <c r="F3391" s="46"/>
      <c r="G3391" s="46"/>
      <c r="H3391" s="46"/>
      <c r="I3391" s="47"/>
    </row>
    <row r="3392" spans="1:9" ht="63.4" customHeight="1" x14ac:dyDescent="0.25">
      <c r="B3392" s="23"/>
      <c r="C3392" s="2" t="s">
        <v>657</v>
      </c>
      <c r="D3392" s="45" t="s">
        <v>2356</v>
      </c>
      <c r="E3392" s="46"/>
      <c r="F3392" s="46"/>
      <c r="G3392" s="46"/>
      <c r="H3392" s="46"/>
      <c r="I3392" s="47"/>
    </row>
    <row r="3393" spans="2:9" ht="63.4" customHeight="1" x14ac:dyDescent="0.25">
      <c r="B3393" s="23"/>
      <c r="C3393" s="2" t="s">
        <v>659</v>
      </c>
      <c r="D3393" s="45" t="s">
        <v>2357</v>
      </c>
      <c r="E3393" s="46"/>
      <c r="F3393" s="46"/>
      <c r="G3393" s="46"/>
      <c r="H3393" s="46"/>
      <c r="I3393" s="47"/>
    </row>
    <row r="3394" spans="2:9" x14ac:dyDescent="0.25">
      <c r="B3394" s="23"/>
      <c r="I3394" s="26"/>
    </row>
    <row r="3395" spans="2:9" x14ac:dyDescent="0.25">
      <c r="B3395" s="23"/>
      <c r="C3395" s="51" t="s">
        <v>55</v>
      </c>
      <c r="D3395" s="46"/>
      <c r="E3395" s="46"/>
      <c r="F3395" s="46"/>
      <c r="G3395" s="46"/>
      <c r="H3395" s="46"/>
      <c r="I3395" s="47"/>
    </row>
    <row r="3396" spans="2:9" x14ac:dyDescent="0.25">
      <c r="B3396" s="23"/>
      <c r="I3396" s="26"/>
    </row>
    <row r="3397" spans="2:9" ht="19.899999999999999" customHeight="1" x14ac:dyDescent="0.25">
      <c r="B3397" s="24" t="s">
        <v>2358</v>
      </c>
      <c r="C3397" s="18" t="s">
        <v>49</v>
      </c>
      <c r="D3397" s="52" t="s">
        <v>2359</v>
      </c>
      <c r="E3397" s="53"/>
      <c r="F3397" s="53"/>
      <c r="G3397" s="53"/>
      <c r="H3397" s="53"/>
      <c r="I3397" s="54"/>
    </row>
    <row r="3398" spans="2:9" ht="48.95" customHeight="1" x14ac:dyDescent="0.25">
      <c r="B3398" s="23"/>
      <c r="C3398" s="2" t="s">
        <v>851</v>
      </c>
      <c r="D3398" s="45" t="s">
        <v>2360</v>
      </c>
      <c r="E3398" s="46"/>
      <c r="F3398" s="46"/>
      <c r="G3398" s="46"/>
      <c r="H3398" s="46"/>
      <c r="I3398" s="47"/>
    </row>
    <row r="3399" spans="2:9" ht="48.95" customHeight="1" x14ac:dyDescent="0.25">
      <c r="B3399" s="23"/>
      <c r="C3399" s="2" t="s">
        <v>657</v>
      </c>
      <c r="D3399" s="45" t="s">
        <v>2361</v>
      </c>
      <c r="E3399" s="46"/>
      <c r="F3399" s="46"/>
      <c r="G3399" s="46"/>
      <c r="H3399" s="46"/>
      <c r="I3399" s="47"/>
    </row>
    <row r="3400" spans="2:9" ht="48.95" customHeight="1" x14ac:dyDescent="0.25">
      <c r="B3400" s="23"/>
      <c r="C3400" s="2" t="s">
        <v>659</v>
      </c>
      <c r="D3400" s="45" t="s">
        <v>2362</v>
      </c>
      <c r="E3400" s="46"/>
      <c r="F3400" s="46"/>
      <c r="G3400" s="46"/>
      <c r="H3400" s="46"/>
      <c r="I3400" s="47"/>
    </row>
    <row r="3401" spans="2:9" x14ac:dyDescent="0.25">
      <c r="B3401" s="23"/>
      <c r="I3401" s="26"/>
    </row>
    <row r="3402" spans="2:9" x14ac:dyDescent="0.25">
      <c r="B3402" s="23"/>
      <c r="C3402" s="55" t="s">
        <v>60</v>
      </c>
      <c r="D3402" s="46"/>
      <c r="E3402" s="46"/>
      <c r="F3402" s="46"/>
      <c r="G3402" s="46"/>
      <c r="H3402" s="46"/>
      <c r="I3402" s="47"/>
    </row>
    <row r="3403" spans="2:9" x14ac:dyDescent="0.25">
      <c r="B3403" s="23"/>
      <c r="I3403" s="26"/>
    </row>
    <row r="3404" spans="2:9" ht="19.899999999999999" customHeight="1" x14ac:dyDescent="0.25">
      <c r="B3404" s="24" t="s">
        <v>2363</v>
      </c>
      <c r="C3404" s="18" t="s">
        <v>49</v>
      </c>
      <c r="D3404" s="52" t="s">
        <v>2364</v>
      </c>
      <c r="E3404" s="53"/>
      <c r="F3404" s="53"/>
      <c r="G3404" s="53"/>
      <c r="H3404" s="53"/>
      <c r="I3404" s="54"/>
    </row>
    <row r="3405" spans="2:9" ht="19.899999999999999" customHeight="1" x14ac:dyDescent="0.25">
      <c r="B3405" s="23"/>
      <c r="C3405" s="2" t="s">
        <v>851</v>
      </c>
      <c r="D3405" s="45" t="s">
        <v>2365</v>
      </c>
      <c r="E3405" s="46"/>
      <c r="F3405" s="46"/>
      <c r="G3405" s="46"/>
      <c r="H3405" s="46"/>
      <c r="I3405" s="47"/>
    </row>
    <row r="3406" spans="2:9" ht="19.899999999999999" customHeight="1" x14ac:dyDescent="0.25">
      <c r="B3406" s="23"/>
      <c r="C3406" s="2" t="s">
        <v>657</v>
      </c>
      <c r="D3406" s="45" t="s">
        <v>2366</v>
      </c>
      <c r="E3406" s="46"/>
      <c r="F3406" s="46"/>
      <c r="G3406" s="46"/>
      <c r="H3406" s="46"/>
      <c r="I3406" s="47"/>
    </row>
    <row r="3407" spans="2:9" ht="19.899999999999999" customHeight="1" x14ac:dyDescent="0.25">
      <c r="B3407" s="23"/>
      <c r="C3407" s="2" t="s">
        <v>659</v>
      </c>
      <c r="D3407" s="45" t="s">
        <v>2367</v>
      </c>
      <c r="E3407" s="46"/>
      <c r="F3407" s="46"/>
      <c r="G3407" s="46"/>
      <c r="H3407" s="46"/>
      <c r="I3407" s="47"/>
    </row>
    <row r="3408" spans="2:9" x14ac:dyDescent="0.25">
      <c r="B3408" s="23"/>
      <c r="I3408" s="26"/>
    </row>
    <row r="3409" spans="1:9" x14ac:dyDescent="0.25">
      <c r="B3409" s="23"/>
      <c r="C3409" s="55" t="s">
        <v>60</v>
      </c>
      <c r="D3409" s="46"/>
      <c r="E3409" s="46"/>
      <c r="F3409" s="46"/>
      <c r="G3409" s="46"/>
      <c r="H3409" s="46"/>
      <c r="I3409" s="47"/>
    </row>
    <row r="3410" spans="1:9" x14ac:dyDescent="0.25">
      <c r="B3410" s="23"/>
      <c r="I3410" s="26"/>
    </row>
    <row r="3411" spans="1:9" ht="48.95" customHeight="1" x14ac:dyDescent="0.25">
      <c r="B3411" s="24" t="s">
        <v>2368</v>
      </c>
      <c r="C3411" s="18" t="s">
        <v>49</v>
      </c>
      <c r="D3411" s="52" t="s">
        <v>2369</v>
      </c>
      <c r="E3411" s="53"/>
      <c r="F3411" s="53"/>
      <c r="G3411" s="53"/>
      <c r="H3411" s="53"/>
      <c r="I3411" s="54"/>
    </row>
    <row r="3412" spans="1:9" ht="48.95" customHeight="1" x14ac:dyDescent="0.25">
      <c r="B3412" s="23"/>
      <c r="C3412" s="2" t="s">
        <v>851</v>
      </c>
      <c r="D3412" s="45" t="s">
        <v>2370</v>
      </c>
      <c r="E3412" s="46"/>
      <c r="F3412" s="46"/>
      <c r="G3412" s="46"/>
      <c r="H3412" s="46"/>
      <c r="I3412" s="47"/>
    </row>
    <row r="3413" spans="1:9" ht="48.95" customHeight="1" x14ac:dyDescent="0.25">
      <c r="B3413" s="23"/>
      <c r="C3413" s="2" t="s">
        <v>657</v>
      </c>
      <c r="D3413" s="45" t="s">
        <v>2371</v>
      </c>
      <c r="E3413" s="46"/>
      <c r="F3413" s="46"/>
      <c r="G3413" s="46"/>
      <c r="H3413" s="46"/>
      <c r="I3413" s="47"/>
    </row>
    <row r="3414" spans="1:9" ht="63.4" customHeight="1" x14ac:dyDescent="0.25">
      <c r="B3414" s="23"/>
      <c r="C3414" s="2" t="s">
        <v>659</v>
      </c>
      <c r="D3414" s="45" t="s">
        <v>2372</v>
      </c>
      <c r="E3414" s="46"/>
      <c r="F3414" s="46"/>
      <c r="G3414" s="46"/>
      <c r="H3414" s="46"/>
      <c r="I3414" s="47"/>
    </row>
    <row r="3415" spans="1:9" x14ac:dyDescent="0.25">
      <c r="B3415" s="23"/>
      <c r="I3415" s="26"/>
    </row>
    <row r="3416" spans="1:9" x14ac:dyDescent="0.25">
      <c r="B3416" s="23"/>
      <c r="C3416" s="51" t="s">
        <v>55</v>
      </c>
      <c r="D3416" s="46"/>
      <c r="E3416" s="46"/>
      <c r="F3416" s="46"/>
      <c r="G3416" s="46"/>
      <c r="H3416" s="46"/>
      <c r="I3416" s="47"/>
    </row>
    <row r="3417" spans="1:9" x14ac:dyDescent="0.25">
      <c r="B3417" s="25"/>
      <c r="C3417" s="21"/>
      <c r="D3417" s="21"/>
      <c r="E3417" s="21"/>
      <c r="F3417" s="21"/>
      <c r="G3417" s="21"/>
      <c r="H3417" s="21"/>
      <c r="I3417" s="27"/>
    </row>
    <row r="3420" spans="1:9" x14ac:dyDescent="0.25">
      <c r="A3420" s="3" t="s">
        <v>734</v>
      </c>
    </row>
    <row r="3421" spans="1:9" ht="34.35" customHeight="1" x14ac:dyDescent="0.25">
      <c r="A3421" s="36" t="s">
        <v>2417</v>
      </c>
      <c r="B3421" s="56" t="s">
        <v>2418</v>
      </c>
      <c r="C3421" s="57"/>
      <c r="D3421" s="57"/>
      <c r="E3421" s="57"/>
      <c r="F3421" s="57"/>
      <c r="G3421" s="57"/>
      <c r="H3421" s="57"/>
      <c r="I3421" s="58"/>
    </row>
  </sheetData>
  <mergeCells count="2141">
    <mergeCell ref="B3421:I3421"/>
    <mergeCell ref="D3411:I3411"/>
    <mergeCell ref="D3412:I3412"/>
    <mergeCell ref="D3413:I3413"/>
    <mergeCell ref="D3414:I3414"/>
    <mergeCell ref="C3416:I3416"/>
    <mergeCell ref="D3404:I3404"/>
    <mergeCell ref="D3405:I3405"/>
    <mergeCell ref="D3406:I3406"/>
    <mergeCell ref="D3407:I3407"/>
    <mergeCell ref="C3409:I3409"/>
    <mergeCell ref="D3397:I3397"/>
    <mergeCell ref="D3398:I3398"/>
    <mergeCell ref="D3399:I3399"/>
    <mergeCell ref="D3400:I3400"/>
    <mergeCell ref="C3402:I3402"/>
    <mergeCell ref="D3390:I3390"/>
    <mergeCell ref="D3391:I3391"/>
    <mergeCell ref="D3392:I3392"/>
    <mergeCell ref="D3393:I3393"/>
    <mergeCell ref="C3395:I3395"/>
    <mergeCell ref="D3383:I3383"/>
    <mergeCell ref="D3384:I3384"/>
    <mergeCell ref="D3385:I3385"/>
    <mergeCell ref="D3386:I3386"/>
    <mergeCell ref="C3388:I3388"/>
    <mergeCell ref="D3372:I3372"/>
    <mergeCell ref="D3373:I3373"/>
    <mergeCell ref="D3374:I3374"/>
    <mergeCell ref="C3376:I3376"/>
    <mergeCell ref="A3381:I3381"/>
    <mergeCell ref="D3365:I3365"/>
    <mergeCell ref="D3366:I3366"/>
    <mergeCell ref="C3368:I3368"/>
    <mergeCell ref="D3370:I3370"/>
    <mergeCell ref="D3371:I3371"/>
    <mergeCell ref="D3358:I3358"/>
    <mergeCell ref="C3360:I3360"/>
    <mergeCell ref="D3362:I3362"/>
    <mergeCell ref="D3363:I3363"/>
    <mergeCell ref="D3364:I3364"/>
    <mergeCell ref="C3352:I3352"/>
    <mergeCell ref="D3354:I3354"/>
    <mergeCell ref="D3355:I3355"/>
    <mergeCell ref="D3356:I3356"/>
    <mergeCell ref="D3357:I3357"/>
    <mergeCell ref="D3346:I3346"/>
    <mergeCell ref="D3347:I3347"/>
    <mergeCell ref="D3348:I3348"/>
    <mergeCell ref="D3349:I3349"/>
    <mergeCell ref="D3350:I3350"/>
    <mergeCell ref="D3335:I3335"/>
    <mergeCell ref="D3336:I3336"/>
    <mergeCell ref="D3337:I3337"/>
    <mergeCell ref="C3339:I3339"/>
    <mergeCell ref="A3344:I3344"/>
    <mergeCell ref="D3330:I3330"/>
    <mergeCell ref="D3331:I3331"/>
    <mergeCell ref="D3332:I3332"/>
    <mergeCell ref="D3333:I3333"/>
    <mergeCell ref="D3334:I3334"/>
    <mergeCell ref="A3321:I3321"/>
    <mergeCell ref="D3323:I3323"/>
    <mergeCell ref="C3326:I3326"/>
    <mergeCell ref="D3328:I3328"/>
    <mergeCell ref="D3329:I3329"/>
    <mergeCell ref="D3311:I3311"/>
    <mergeCell ref="D3312:I3312"/>
    <mergeCell ref="D3313:I3313"/>
    <mergeCell ref="D3314:I3314"/>
    <mergeCell ref="C3316:I3316"/>
    <mergeCell ref="D3297:I3297"/>
    <mergeCell ref="C3299:I3299"/>
    <mergeCell ref="A3304:I3304"/>
    <mergeCell ref="D3306:I3306"/>
    <mergeCell ref="C3309:I3309"/>
    <mergeCell ref="D3289:I3289"/>
    <mergeCell ref="C3292:I3292"/>
    <mergeCell ref="D3294:I3294"/>
    <mergeCell ref="D3295:I3295"/>
    <mergeCell ref="D3296:I3296"/>
    <mergeCell ref="D3278:I3278"/>
    <mergeCell ref="D3279:I3279"/>
    <mergeCell ref="D3280:I3280"/>
    <mergeCell ref="C3282:I3282"/>
    <mergeCell ref="A3287:I3287"/>
    <mergeCell ref="D3271:I3271"/>
    <mergeCell ref="D3272:I3272"/>
    <mergeCell ref="D3273:I3273"/>
    <mergeCell ref="C3275:I3275"/>
    <mergeCell ref="D3277:I3277"/>
    <mergeCell ref="D3264:I3264"/>
    <mergeCell ref="D3265:I3265"/>
    <mergeCell ref="D3266:I3266"/>
    <mergeCell ref="C3268:I3268"/>
    <mergeCell ref="D3270:I3270"/>
    <mergeCell ref="D3257:I3257"/>
    <mergeCell ref="D3258:I3258"/>
    <mergeCell ref="D3259:I3259"/>
    <mergeCell ref="C3261:I3261"/>
    <mergeCell ref="D3263:I3263"/>
    <mergeCell ref="D3250:I3250"/>
    <mergeCell ref="D3251:I3251"/>
    <mergeCell ref="D3252:I3252"/>
    <mergeCell ref="C3254:I3254"/>
    <mergeCell ref="D3256:I3256"/>
    <mergeCell ref="D3243:I3243"/>
    <mergeCell ref="D3244:I3244"/>
    <mergeCell ref="D3245:I3245"/>
    <mergeCell ref="C3247:I3247"/>
    <mergeCell ref="D3249:I3249"/>
    <mergeCell ref="C3231:I3231"/>
    <mergeCell ref="A3236:I3236"/>
    <mergeCell ref="D3238:I3238"/>
    <mergeCell ref="C3240:I3240"/>
    <mergeCell ref="D3242:I3242"/>
    <mergeCell ref="D3224:I3224"/>
    <mergeCell ref="C3225:I3225"/>
    <mergeCell ref="D3227:I3227"/>
    <mergeCell ref="D3228:I3228"/>
    <mergeCell ref="D3229:I3229"/>
    <mergeCell ref="D3216:I3216"/>
    <mergeCell ref="D3217:I3217"/>
    <mergeCell ref="C3219:I3219"/>
    <mergeCell ref="D3221:I3221"/>
    <mergeCell ref="C3222:I3222"/>
    <mergeCell ref="D3211:I3211"/>
    <mergeCell ref="D3212:I3212"/>
    <mergeCell ref="D3213:I3213"/>
    <mergeCell ref="D3214:I3214"/>
    <mergeCell ref="D3215:I3215"/>
    <mergeCell ref="D3206:I3206"/>
    <mergeCell ref="D3207:I3207"/>
    <mergeCell ref="D3208:I3208"/>
    <mergeCell ref="D3209:I3209"/>
    <mergeCell ref="D3210:I3210"/>
    <mergeCell ref="D3195:I3195"/>
    <mergeCell ref="D3196:I3196"/>
    <mergeCell ref="D3197:I3197"/>
    <mergeCell ref="C3199:I3199"/>
    <mergeCell ref="A3204:I3204"/>
    <mergeCell ref="D3188:I3188"/>
    <mergeCell ref="D3189:I3189"/>
    <mergeCell ref="D3190:I3190"/>
    <mergeCell ref="C3192:I3192"/>
    <mergeCell ref="D3194:I3194"/>
    <mergeCell ref="D3181:I3181"/>
    <mergeCell ref="D3182:I3182"/>
    <mergeCell ref="D3183:I3183"/>
    <mergeCell ref="C3185:I3185"/>
    <mergeCell ref="D3187:I3187"/>
    <mergeCell ref="D3174:I3174"/>
    <mergeCell ref="D3175:I3175"/>
    <mergeCell ref="D3176:I3176"/>
    <mergeCell ref="C3178:I3178"/>
    <mergeCell ref="D3180:I3180"/>
    <mergeCell ref="D3167:I3167"/>
    <mergeCell ref="D3168:I3168"/>
    <mergeCell ref="D3169:I3169"/>
    <mergeCell ref="C3171:I3171"/>
    <mergeCell ref="D3173:I3173"/>
    <mergeCell ref="D3156:I3156"/>
    <mergeCell ref="D3157:I3157"/>
    <mergeCell ref="C3159:I3159"/>
    <mergeCell ref="A3164:I3164"/>
    <mergeCell ref="D3166:I3166"/>
    <mergeCell ref="D3149:I3149"/>
    <mergeCell ref="C3151:I3151"/>
    <mergeCell ref="D3153:I3153"/>
    <mergeCell ref="D3154:I3154"/>
    <mergeCell ref="D3155:I3155"/>
    <mergeCell ref="C3143:I3143"/>
    <mergeCell ref="D3145:I3145"/>
    <mergeCell ref="D3146:I3146"/>
    <mergeCell ref="D3147:I3147"/>
    <mergeCell ref="D3148:I3148"/>
    <mergeCell ref="D3137:I3137"/>
    <mergeCell ref="D3138:I3138"/>
    <mergeCell ref="D3139:I3139"/>
    <mergeCell ref="D3140:I3140"/>
    <mergeCell ref="D3141:I3141"/>
    <mergeCell ref="D3130:I3130"/>
    <mergeCell ref="D3131:I3131"/>
    <mergeCell ref="D3132:I3132"/>
    <mergeCell ref="D3133:I3133"/>
    <mergeCell ref="C3135:I3135"/>
    <mergeCell ref="C3117:I3117"/>
    <mergeCell ref="D3119:I3119"/>
    <mergeCell ref="C3122:I3122"/>
    <mergeCell ref="A3127:I3127"/>
    <mergeCell ref="D3129:I3129"/>
    <mergeCell ref="C3105:I3105"/>
    <mergeCell ref="D3107:I3107"/>
    <mergeCell ref="C3108:I3108"/>
    <mergeCell ref="A3113:I3113"/>
    <mergeCell ref="D3115:I3115"/>
    <mergeCell ref="D3099:I3099"/>
    <mergeCell ref="D3100:I3100"/>
    <mergeCell ref="D3101:I3101"/>
    <mergeCell ref="D3102:I3102"/>
    <mergeCell ref="D3103:I3103"/>
    <mergeCell ref="D3093:I3093"/>
    <mergeCell ref="C3094:I3094"/>
    <mergeCell ref="D3096:I3096"/>
    <mergeCell ref="D3097:I3097"/>
    <mergeCell ref="D3098:I3098"/>
    <mergeCell ref="D3079:I3079"/>
    <mergeCell ref="C3081:I3081"/>
    <mergeCell ref="A3086:I3086"/>
    <mergeCell ref="D3088:I3088"/>
    <mergeCell ref="C3091:I3091"/>
    <mergeCell ref="D3074:I3074"/>
    <mergeCell ref="D3075:I3075"/>
    <mergeCell ref="D3076:I3076"/>
    <mergeCell ref="D3077:I3077"/>
    <mergeCell ref="D3078:I3078"/>
    <mergeCell ref="A3065:I3065"/>
    <mergeCell ref="D3067:I3067"/>
    <mergeCell ref="C3070:I3070"/>
    <mergeCell ref="D3072:I3072"/>
    <mergeCell ref="D3073:I3073"/>
    <mergeCell ref="D3055:I3055"/>
    <mergeCell ref="D3056:I3056"/>
    <mergeCell ref="D3057:I3057"/>
    <mergeCell ref="D3058:I3058"/>
    <mergeCell ref="C3060:I3060"/>
    <mergeCell ref="D3049:I3049"/>
    <mergeCell ref="C3050:I3050"/>
    <mergeCell ref="D3052:I3052"/>
    <mergeCell ref="D3053:I3053"/>
    <mergeCell ref="D3054:I3054"/>
    <mergeCell ref="C3034:I3034"/>
    <mergeCell ref="C3038:I3038"/>
    <mergeCell ref="A3042:I3042"/>
    <mergeCell ref="D3044:I3044"/>
    <mergeCell ref="C3047:I3047"/>
    <mergeCell ref="D3022:I3022"/>
    <mergeCell ref="C3026:I3026"/>
    <mergeCell ref="C3027:I3027"/>
    <mergeCell ref="D3029:I3029"/>
    <mergeCell ref="C3033:I3033"/>
    <mergeCell ref="D3015:I3015"/>
    <mergeCell ref="D3016:I3016"/>
    <mergeCell ref="C3018:I3018"/>
    <mergeCell ref="C3019:I3019"/>
    <mergeCell ref="B3021:I3021"/>
    <mergeCell ref="D3010:I3010"/>
    <mergeCell ref="D3011:I3011"/>
    <mergeCell ref="D3012:I3012"/>
    <mergeCell ref="D3013:I3013"/>
    <mergeCell ref="D3014:I3014"/>
    <mergeCell ref="D3003:I3003"/>
    <mergeCell ref="C3005:I3005"/>
    <mergeCell ref="C3006:I3006"/>
    <mergeCell ref="D3008:I3008"/>
    <mergeCell ref="D3009:I3009"/>
    <mergeCell ref="D2998:I2998"/>
    <mergeCell ref="D2999:I2999"/>
    <mergeCell ref="D3000:I3000"/>
    <mergeCell ref="D3001:I3001"/>
    <mergeCell ref="D3002:I3002"/>
    <mergeCell ref="D2991:I2991"/>
    <mergeCell ref="D2992:I2992"/>
    <mergeCell ref="C2994:I2994"/>
    <mergeCell ref="C2995:I2995"/>
    <mergeCell ref="D2997:I2997"/>
    <mergeCell ref="C2985:I2985"/>
    <mergeCell ref="D2987:I2987"/>
    <mergeCell ref="D2988:I2988"/>
    <mergeCell ref="D2989:I2989"/>
    <mergeCell ref="D2990:I2990"/>
    <mergeCell ref="D2979:I2979"/>
    <mergeCell ref="D2980:I2980"/>
    <mergeCell ref="D2981:I2981"/>
    <mergeCell ref="D2982:I2982"/>
    <mergeCell ref="C2984:I2984"/>
    <mergeCell ref="D2971:I2971"/>
    <mergeCell ref="C2974:I2974"/>
    <mergeCell ref="C2975:I2975"/>
    <mergeCell ref="B2977:I2977"/>
    <mergeCell ref="D2978:I2978"/>
    <mergeCell ref="C2962:I2962"/>
    <mergeCell ref="C2963:I2963"/>
    <mergeCell ref="D2965:I2965"/>
    <mergeCell ref="C2968:I2968"/>
    <mergeCell ref="C2969:I2969"/>
    <mergeCell ref="D2953:I2953"/>
    <mergeCell ref="D2954:I2954"/>
    <mergeCell ref="C2956:I2956"/>
    <mergeCell ref="C2957:I2957"/>
    <mergeCell ref="D2959:I2959"/>
    <mergeCell ref="D2946:I2946"/>
    <mergeCell ref="C2948:I2948"/>
    <mergeCell ref="C2949:I2949"/>
    <mergeCell ref="D2951:I2951"/>
    <mergeCell ref="D2952:I2952"/>
    <mergeCell ref="C2940:I2940"/>
    <mergeCell ref="C2941:I2941"/>
    <mergeCell ref="D2943:I2943"/>
    <mergeCell ref="D2944:I2944"/>
    <mergeCell ref="D2945:I2945"/>
    <mergeCell ref="D2934:I2934"/>
    <mergeCell ref="D2935:I2935"/>
    <mergeCell ref="D2936:I2936"/>
    <mergeCell ref="D2937:I2937"/>
    <mergeCell ref="D2938:I2938"/>
    <mergeCell ref="C2924:I2924"/>
    <mergeCell ref="B2926:I2926"/>
    <mergeCell ref="D2927:I2927"/>
    <mergeCell ref="C2931:I2931"/>
    <mergeCell ref="C2932:I2932"/>
    <mergeCell ref="D2912:I2912"/>
    <mergeCell ref="C2916:I2916"/>
    <mergeCell ref="C2917:I2917"/>
    <mergeCell ref="D2919:I2919"/>
    <mergeCell ref="C2923:I2923"/>
    <mergeCell ref="C2902:I2902"/>
    <mergeCell ref="C2903:I2903"/>
    <mergeCell ref="D2905:I2905"/>
    <mergeCell ref="C2909:I2909"/>
    <mergeCell ref="C2910:I2910"/>
    <mergeCell ref="B2890:I2890"/>
    <mergeCell ref="D2891:I2891"/>
    <mergeCell ref="C2895:I2895"/>
    <mergeCell ref="C2896:I2896"/>
    <mergeCell ref="D2898:I2898"/>
    <mergeCell ref="D2883:I2883"/>
    <mergeCell ref="D2884:I2884"/>
    <mergeCell ref="D2885:I2885"/>
    <mergeCell ref="D2886:I2886"/>
    <mergeCell ref="C2888:I2888"/>
    <mergeCell ref="D2874:I2874"/>
    <mergeCell ref="C2876:I2876"/>
    <mergeCell ref="D2878:I2878"/>
    <mergeCell ref="C2880:I2880"/>
    <mergeCell ref="D2882:I2882"/>
    <mergeCell ref="C2864:I2864"/>
    <mergeCell ref="A2869:I2869"/>
    <mergeCell ref="D2871:I2871"/>
    <mergeCell ref="D2872:I2872"/>
    <mergeCell ref="D2873:I2873"/>
    <mergeCell ref="A2857:I2857"/>
    <mergeCell ref="D2859:I2859"/>
    <mergeCell ref="D2860:I2860"/>
    <mergeCell ref="D2861:I2861"/>
    <mergeCell ref="D2862:I2862"/>
    <mergeCell ref="D2845:I2845"/>
    <mergeCell ref="D2846:I2846"/>
    <mergeCell ref="C2848:I2848"/>
    <mergeCell ref="C2849:I2849"/>
    <mergeCell ref="C2853:I2853"/>
    <mergeCell ref="D2838:I2838"/>
    <mergeCell ref="D2839:I2839"/>
    <mergeCell ref="C2841:I2841"/>
    <mergeCell ref="C2842:I2842"/>
    <mergeCell ref="D2844:I2844"/>
    <mergeCell ref="D2831:I2831"/>
    <mergeCell ref="D2832:I2832"/>
    <mergeCell ref="C2834:I2834"/>
    <mergeCell ref="C2835:I2835"/>
    <mergeCell ref="D2837:I2837"/>
    <mergeCell ref="D2826:I2826"/>
    <mergeCell ref="D2827:I2827"/>
    <mergeCell ref="D2828:I2828"/>
    <mergeCell ref="D2829:I2829"/>
    <mergeCell ref="D2830:I2830"/>
    <mergeCell ref="D2819:I2819"/>
    <mergeCell ref="D2820:I2820"/>
    <mergeCell ref="D2821:I2821"/>
    <mergeCell ref="C2823:I2823"/>
    <mergeCell ref="C2824:I2824"/>
    <mergeCell ref="C2813:I2813"/>
    <mergeCell ref="C2814:I2814"/>
    <mergeCell ref="D2816:I2816"/>
    <mergeCell ref="D2817:I2817"/>
    <mergeCell ref="D2818:I2818"/>
    <mergeCell ref="D2807:I2807"/>
    <mergeCell ref="D2808:I2808"/>
    <mergeCell ref="D2809:I2809"/>
    <mergeCell ref="D2810:I2810"/>
    <mergeCell ref="D2811:I2811"/>
    <mergeCell ref="D2800:I2800"/>
    <mergeCell ref="D2801:I2801"/>
    <mergeCell ref="D2802:I2802"/>
    <mergeCell ref="C2804:I2804"/>
    <mergeCell ref="C2805:I2805"/>
    <mergeCell ref="D2793:I2793"/>
    <mergeCell ref="D2794:I2794"/>
    <mergeCell ref="C2796:I2796"/>
    <mergeCell ref="C2797:I2797"/>
    <mergeCell ref="D2799:I2799"/>
    <mergeCell ref="C2787:I2787"/>
    <mergeCell ref="C2788:I2788"/>
    <mergeCell ref="D2790:I2790"/>
    <mergeCell ref="D2791:I2791"/>
    <mergeCell ref="D2792:I2792"/>
    <mergeCell ref="D2781:I2781"/>
    <mergeCell ref="D2782:I2782"/>
    <mergeCell ref="D2783:I2783"/>
    <mergeCell ref="D2784:I2784"/>
    <mergeCell ref="D2785:I2785"/>
    <mergeCell ref="D2774:I2774"/>
    <mergeCell ref="D2775:I2775"/>
    <mergeCell ref="C2777:I2777"/>
    <mergeCell ref="C2778:I2778"/>
    <mergeCell ref="D2780:I2780"/>
    <mergeCell ref="D2769:I2769"/>
    <mergeCell ref="D2770:I2770"/>
    <mergeCell ref="D2771:I2771"/>
    <mergeCell ref="D2772:I2772"/>
    <mergeCell ref="D2773:I2773"/>
    <mergeCell ref="D2764:I2764"/>
    <mergeCell ref="D2765:I2765"/>
    <mergeCell ref="D2766:I2766"/>
    <mergeCell ref="D2767:I2767"/>
    <mergeCell ref="D2768:I2768"/>
    <mergeCell ref="C2758:I2758"/>
    <mergeCell ref="D2760:I2760"/>
    <mergeCell ref="D2761:I2761"/>
    <mergeCell ref="D2762:I2762"/>
    <mergeCell ref="D2763:I2763"/>
    <mergeCell ref="D2752:I2752"/>
    <mergeCell ref="D2753:I2753"/>
    <mergeCell ref="D2754:I2754"/>
    <mergeCell ref="D2755:I2755"/>
    <mergeCell ref="C2757:I2757"/>
    <mergeCell ref="D2744:I2744"/>
    <mergeCell ref="C2747:I2747"/>
    <mergeCell ref="D2749:I2749"/>
    <mergeCell ref="D2750:I2750"/>
    <mergeCell ref="D2751:I2751"/>
    <mergeCell ref="C2735:I2735"/>
    <mergeCell ref="C2736:I2736"/>
    <mergeCell ref="C2737:I2737"/>
    <mergeCell ref="C2738:I2738"/>
    <mergeCell ref="A2742:I2742"/>
    <mergeCell ref="C2730:I2730"/>
    <mergeCell ref="C2731:I2731"/>
    <mergeCell ref="C2732:I2732"/>
    <mergeCell ref="C2733:I2733"/>
    <mergeCell ref="C2734:I2734"/>
    <mergeCell ref="C2725:I2725"/>
    <mergeCell ref="C2726:I2726"/>
    <mergeCell ref="C2727:I2727"/>
    <mergeCell ref="C2728:I2728"/>
    <mergeCell ref="C2729:I2729"/>
    <mergeCell ref="C2720:I2720"/>
    <mergeCell ref="C2721:I2721"/>
    <mergeCell ref="C2722:I2722"/>
    <mergeCell ref="C2723:I2723"/>
    <mergeCell ref="C2724:I2724"/>
    <mergeCell ref="D2711:I2711"/>
    <mergeCell ref="D2712:I2712"/>
    <mergeCell ref="D2713:I2713"/>
    <mergeCell ref="C2715:I2715"/>
    <mergeCell ref="C2719:I2719"/>
    <mergeCell ref="D2706:I2706"/>
    <mergeCell ref="D2707:I2707"/>
    <mergeCell ref="D2708:I2708"/>
    <mergeCell ref="D2709:I2709"/>
    <mergeCell ref="D2710:I2710"/>
    <mergeCell ref="C2700:I2700"/>
    <mergeCell ref="D2702:I2702"/>
    <mergeCell ref="D2703:I2703"/>
    <mergeCell ref="D2704:I2704"/>
    <mergeCell ref="D2705:I2705"/>
    <mergeCell ref="D2694:I2694"/>
    <mergeCell ref="D2695:I2695"/>
    <mergeCell ref="D2696:I2696"/>
    <mergeCell ref="D2697:I2697"/>
    <mergeCell ref="D2698:I2698"/>
    <mergeCell ref="D2687:I2687"/>
    <mergeCell ref="D2688:I2688"/>
    <mergeCell ref="D2689:I2689"/>
    <mergeCell ref="C2691:I2691"/>
    <mergeCell ref="D2693:I2693"/>
    <mergeCell ref="D2680:I2680"/>
    <mergeCell ref="C2682:I2682"/>
    <mergeCell ref="D2684:I2684"/>
    <mergeCell ref="D2685:I2685"/>
    <mergeCell ref="D2686:I2686"/>
    <mergeCell ref="D2673:I2673"/>
    <mergeCell ref="C2675:I2675"/>
    <mergeCell ref="D2677:I2677"/>
    <mergeCell ref="D2678:I2678"/>
    <mergeCell ref="D2679:I2679"/>
    <mergeCell ref="C2663:I2663"/>
    <mergeCell ref="D2665:I2665"/>
    <mergeCell ref="C2668:I2668"/>
    <mergeCell ref="D2670:I2670"/>
    <mergeCell ref="C2671:I2671"/>
    <mergeCell ref="C2650:I2650"/>
    <mergeCell ref="A2654:I2654"/>
    <mergeCell ref="D2656:I2656"/>
    <mergeCell ref="C2659:I2659"/>
    <mergeCell ref="D2661:I2661"/>
    <mergeCell ref="C2645:I2645"/>
    <mergeCell ref="C2646:I2646"/>
    <mergeCell ref="C2647:I2647"/>
    <mergeCell ref="C2648:I2648"/>
    <mergeCell ref="C2649:I2649"/>
    <mergeCell ref="C2640:I2640"/>
    <mergeCell ref="C2641:I2641"/>
    <mergeCell ref="C2642:I2642"/>
    <mergeCell ref="C2643:I2643"/>
    <mergeCell ref="C2644:I2644"/>
    <mergeCell ref="C2635:I2635"/>
    <mergeCell ref="C2636:I2636"/>
    <mergeCell ref="C2637:I2637"/>
    <mergeCell ref="C2638:I2638"/>
    <mergeCell ref="C2639:I2639"/>
    <mergeCell ref="C2630:I2630"/>
    <mergeCell ref="C2631:I2631"/>
    <mergeCell ref="C2632:I2632"/>
    <mergeCell ref="C2633:I2633"/>
    <mergeCell ref="C2634:I2634"/>
    <mergeCell ref="C2625:I2625"/>
    <mergeCell ref="C2626:I2626"/>
    <mergeCell ref="C2627:I2627"/>
    <mergeCell ref="C2628:I2628"/>
    <mergeCell ref="C2629:I2629"/>
    <mergeCell ref="C2617:I2617"/>
    <mergeCell ref="C2621:I2621"/>
    <mergeCell ref="C2622:I2622"/>
    <mergeCell ref="C2623:I2623"/>
    <mergeCell ref="C2624:I2624"/>
    <mergeCell ref="D2611:I2611"/>
    <mergeCell ref="D2612:I2612"/>
    <mergeCell ref="D2613:I2613"/>
    <mergeCell ref="D2614:I2614"/>
    <mergeCell ref="D2615:I2615"/>
    <mergeCell ref="D2603:I2603"/>
    <mergeCell ref="C2606:I2606"/>
    <mergeCell ref="D2608:I2608"/>
    <mergeCell ref="D2609:I2609"/>
    <mergeCell ref="D2610:I2610"/>
    <mergeCell ref="D2596:I2596"/>
    <mergeCell ref="D2597:I2597"/>
    <mergeCell ref="D2598:I2598"/>
    <mergeCell ref="D2599:I2599"/>
    <mergeCell ref="C2601:I2601"/>
    <mergeCell ref="D2589:I2589"/>
    <mergeCell ref="D2590:I2590"/>
    <mergeCell ref="D2591:I2591"/>
    <mergeCell ref="C2593:I2593"/>
    <mergeCell ref="D2595:I2595"/>
    <mergeCell ref="D2580:I2580"/>
    <mergeCell ref="C2582:I2582"/>
    <mergeCell ref="D2584:I2584"/>
    <mergeCell ref="C2586:I2586"/>
    <mergeCell ref="D2588:I2588"/>
    <mergeCell ref="D2575:I2575"/>
    <mergeCell ref="D2576:I2576"/>
    <mergeCell ref="D2577:I2577"/>
    <mergeCell ref="D2578:I2578"/>
    <mergeCell ref="D2579:I2579"/>
    <mergeCell ref="D2568:I2568"/>
    <mergeCell ref="D2569:I2569"/>
    <mergeCell ref="C2571:I2571"/>
    <mergeCell ref="D2573:I2573"/>
    <mergeCell ref="D2574:I2574"/>
    <mergeCell ref="D2563:I2563"/>
    <mergeCell ref="D2564:I2564"/>
    <mergeCell ref="D2565:I2565"/>
    <mergeCell ref="D2566:I2566"/>
    <mergeCell ref="D2567:I2567"/>
    <mergeCell ref="C2557:I2557"/>
    <mergeCell ref="D2559:I2559"/>
    <mergeCell ref="D2560:I2560"/>
    <mergeCell ref="D2561:I2561"/>
    <mergeCell ref="D2562:I2562"/>
    <mergeCell ref="D2546:I2546"/>
    <mergeCell ref="C2548:I2548"/>
    <mergeCell ref="D2550:I2550"/>
    <mergeCell ref="C2553:I2553"/>
    <mergeCell ref="D2555:I2555"/>
    <mergeCell ref="D2541:I2541"/>
    <mergeCell ref="D2542:I2542"/>
    <mergeCell ref="D2543:I2543"/>
    <mergeCell ref="D2544:I2544"/>
    <mergeCell ref="D2545:I2545"/>
    <mergeCell ref="D2534:I2534"/>
    <mergeCell ref="D2535:I2535"/>
    <mergeCell ref="C2537:I2537"/>
    <mergeCell ref="D2539:I2539"/>
    <mergeCell ref="D2540:I2540"/>
    <mergeCell ref="D2529:I2529"/>
    <mergeCell ref="D2530:I2530"/>
    <mergeCell ref="D2531:I2531"/>
    <mergeCell ref="D2532:I2532"/>
    <mergeCell ref="D2533:I2533"/>
    <mergeCell ref="C2523:I2523"/>
    <mergeCell ref="D2525:I2525"/>
    <mergeCell ref="D2526:I2526"/>
    <mergeCell ref="D2527:I2527"/>
    <mergeCell ref="D2528:I2528"/>
    <mergeCell ref="C2512:I2512"/>
    <mergeCell ref="C2513:I2513"/>
    <mergeCell ref="C2514:I2514"/>
    <mergeCell ref="A2518:I2518"/>
    <mergeCell ref="D2520:I2520"/>
    <mergeCell ref="C2507:I2507"/>
    <mergeCell ref="C2508:I2508"/>
    <mergeCell ref="C2509:I2509"/>
    <mergeCell ref="C2510:I2510"/>
    <mergeCell ref="C2511:I2511"/>
    <mergeCell ref="C2502:I2502"/>
    <mergeCell ref="C2503:I2503"/>
    <mergeCell ref="C2504:I2504"/>
    <mergeCell ref="C2505:I2505"/>
    <mergeCell ref="C2506:I2506"/>
    <mergeCell ref="C2497:I2497"/>
    <mergeCell ref="C2498:I2498"/>
    <mergeCell ref="C2499:I2499"/>
    <mergeCell ref="C2500:I2500"/>
    <mergeCell ref="C2501:I2501"/>
    <mergeCell ref="C2492:I2492"/>
    <mergeCell ref="C2493:I2493"/>
    <mergeCell ref="C2494:I2494"/>
    <mergeCell ref="C2495:I2495"/>
    <mergeCell ref="C2496:I2496"/>
    <mergeCell ref="C2484:I2484"/>
    <mergeCell ref="C2488:I2488"/>
    <mergeCell ref="C2489:I2489"/>
    <mergeCell ref="C2490:I2490"/>
    <mergeCell ref="C2491:I2491"/>
    <mergeCell ref="D2477:I2477"/>
    <mergeCell ref="D2478:I2478"/>
    <mergeCell ref="D2479:I2479"/>
    <mergeCell ref="C2481:I2481"/>
    <mergeCell ref="D2483:I2483"/>
    <mergeCell ref="D2470:I2470"/>
    <mergeCell ref="C2472:I2472"/>
    <mergeCell ref="D2474:I2474"/>
    <mergeCell ref="D2475:I2475"/>
    <mergeCell ref="D2476:I2476"/>
    <mergeCell ref="D2465:I2465"/>
    <mergeCell ref="D2466:I2466"/>
    <mergeCell ref="D2467:I2467"/>
    <mergeCell ref="D2468:I2468"/>
    <mergeCell ref="D2469:I2469"/>
    <mergeCell ref="D2458:I2458"/>
    <mergeCell ref="C2460:I2460"/>
    <mergeCell ref="D2462:I2462"/>
    <mergeCell ref="D2463:I2463"/>
    <mergeCell ref="D2464:I2464"/>
    <mergeCell ref="C2452:I2452"/>
    <mergeCell ref="D2454:I2454"/>
    <mergeCell ref="D2455:I2455"/>
    <mergeCell ref="D2456:I2456"/>
    <mergeCell ref="D2457:I2457"/>
    <mergeCell ref="C2445:I2445"/>
    <mergeCell ref="D2447:I2447"/>
    <mergeCell ref="D2448:I2448"/>
    <mergeCell ref="D2449:I2449"/>
    <mergeCell ref="D2450:I2450"/>
    <mergeCell ref="D2437:I2437"/>
    <mergeCell ref="C2438:I2438"/>
    <mergeCell ref="D2440:I2440"/>
    <mergeCell ref="C2441:I2441"/>
    <mergeCell ref="D2443:I2443"/>
    <mergeCell ref="D2430:I2430"/>
    <mergeCell ref="D2431:I2431"/>
    <mergeCell ref="D2432:I2432"/>
    <mergeCell ref="D2433:I2433"/>
    <mergeCell ref="C2435:I2435"/>
    <mergeCell ref="D2425:I2425"/>
    <mergeCell ref="D2426:I2426"/>
    <mergeCell ref="D2427:I2427"/>
    <mergeCell ref="D2428:I2428"/>
    <mergeCell ref="D2429:I2429"/>
    <mergeCell ref="D2418:I2418"/>
    <mergeCell ref="C2420:I2420"/>
    <mergeCell ref="D2422:I2422"/>
    <mergeCell ref="D2423:I2423"/>
    <mergeCell ref="D2424:I2424"/>
    <mergeCell ref="C2406:I2406"/>
    <mergeCell ref="C2407:I2407"/>
    <mergeCell ref="A2411:I2411"/>
    <mergeCell ref="D2413:I2413"/>
    <mergeCell ref="C2416:I2416"/>
    <mergeCell ref="D2397:I2397"/>
    <mergeCell ref="D2398:I2398"/>
    <mergeCell ref="C2400:I2400"/>
    <mergeCell ref="C2404:I2404"/>
    <mergeCell ref="C2405:I2405"/>
    <mergeCell ref="D2389:I2389"/>
    <mergeCell ref="C2392:I2392"/>
    <mergeCell ref="D2394:I2394"/>
    <mergeCell ref="D2395:I2395"/>
    <mergeCell ref="D2396:I2396"/>
    <mergeCell ref="C2377:I2377"/>
    <mergeCell ref="D2379:I2379"/>
    <mergeCell ref="C2382:I2382"/>
    <mergeCell ref="D2384:I2384"/>
    <mergeCell ref="C2387:I2387"/>
    <mergeCell ref="C2370:I2370"/>
    <mergeCell ref="D2372:I2372"/>
    <mergeCell ref="D2373:I2373"/>
    <mergeCell ref="D2374:I2374"/>
    <mergeCell ref="D2375:I2375"/>
    <mergeCell ref="C2360:I2360"/>
    <mergeCell ref="C2361:I2361"/>
    <mergeCell ref="C2362:I2362"/>
    <mergeCell ref="A2366:I2366"/>
    <mergeCell ref="D2368:I2368"/>
    <mergeCell ref="D2345:I2345"/>
    <mergeCell ref="C2348:I2348"/>
    <mergeCell ref="D2350:I2350"/>
    <mergeCell ref="C2353:I2353"/>
    <mergeCell ref="C2357:I2357"/>
    <mergeCell ref="C2336:I2336"/>
    <mergeCell ref="C2337:I2337"/>
    <mergeCell ref="C2338:I2338"/>
    <mergeCell ref="C2339:I2339"/>
    <mergeCell ref="A2343:I2343"/>
    <mergeCell ref="C2329:I2329"/>
    <mergeCell ref="C2332:I2332"/>
    <mergeCell ref="C2333:I2333"/>
    <mergeCell ref="C2334:I2334"/>
    <mergeCell ref="C2335:I2335"/>
    <mergeCell ref="D2317:I2317"/>
    <mergeCell ref="D2318:I2318"/>
    <mergeCell ref="C2320:I2320"/>
    <mergeCell ref="D2322:I2322"/>
    <mergeCell ref="C2325:I2325"/>
    <mergeCell ref="D2312:I2312"/>
    <mergeCell ref="D2313:I2313"/>
    <mergeCell ref="D2314:I2314"/>
    <mergeCell ref="D2315:I2315"/>
    <mergeCell ref="D2316:I2316"/>
    <mergeCell ref="C2304:I2304"/>
    <mergeCell ref="D2306:I2306"/>
    <mergeCell ref="C2308:I2308"/>
    <mergeCell ref="D2310:I2310"/>
    <mergeCell ref="D2311:I2311"/>
    <mergeCell ref="C2294:I2294"/>
    <mergeCell ref="C2295:I2295"/>
    <mergeCell ref="C2296:I2296"/>
    <mergeCell ref="A2300:I2300"/>
    <mergeCell ref="D2302:I2302"/>
    <mergeCell ref="D2284:I2284"/>
    <mergeCell ref="C2287:I2287"/>
    <mergeCell ref="C2291:I2291"/>
    <mergeCell ref="C2292:I2292"/>
    <mergeCell ref="C2293:I2293"/>
    <mergeCell ref="C2272:I2272"/>
    <mergeCell ref="D2274:I2274"/>
    <mergeCell ref="C2277:I2277"/>
    <mergeCell ref="D2279:I2279"/>
    <mergeCell ref="C2282:I2282"/>
    <mergeCell ref="D2259:I2259"/>
    <mergeCell ref="C2262:I2262"/>
    <mergeCell ref="D2264:I2264"/>
    <mergeCell ref="C2267:I2267"/>
    <mergeCell ref="D2269:I2269"/>
    <mergeCell ref="C2247:I2247"/>
    <mergeCell ref="D2249:I2249"/>
    <mergeCell ref="C2252:I2252"/>
    <mergeCell ref="D2254:I2254"/>
    <mergeCell ref="C2257:I2257"/>
    <mergeCell ref="C2234:I2234"/>
    <mergeCell ref="A2238:I2238"/>
    <mergeCell ref="D2240:I2240"/>
    <mergeCell ref="C2242:I2242"/>
    <mergeCell ref="D2244:I2244"/>
    <mergeCell ref="C2227:I2227"/>
    <mergeCell ref="C2230:I2230"/>
    <mergeCell ref="C2231:I2231"/>
    <mergeCell ref="C2232:I2232"/>
    <mergeCell ref="C2233:I2233"/>
    <mergeCell ref="D2214:I2214"/>
    <mergeCell ref="C2217:I2217"/>
    <mergeCell ref="D2219:I2219"/>
    <mergeCell ref="C2222:I2222"/>
    <mergeCell ref="C2226:I2226"/>
    <mergeCell ref="C2202:I2202"/>
    <mergeCell ref="D2204:I2204"/>
    <mergeCell ref="C2207:I2207"/>
    <mergeCell ref="D2209:I2209"/>
    <mergeCell ref="C2212:I2212"/>
    <mergeCell ref="D2189:I2189"/>
    <mergeCell ref="C2192:I2192"/>
    <mergeCell ref="D2194:I2194"/>
    <mergeCell ref="C2197:I2197"/>
    <mergeCell ref="D2199:I2199"/>
    <mergeCell ref="C2177:I2177"/>
    <mergeCell ref="D2179:I2179"/>
    <mergeCell ref="C2182:I2182"/>
    <mergeCell ref="D2184:I2184"/>
    <mergeCell ref="C2187:I2187"/>
    <mergeCell ref="D2164:I2164"/>
    <mergeCell ref="C2167:I2167"/>
    <mergeCell ref="D2169:I2169"/>
    <mergeCell ref="C2172:I2172"/>
    <mergeCell ref="D2174:I2174"/>
    <mergeCell ref="D2154:I2154"/>
    <mergeCell ref="D2155:I2155"/>
    <mergeCell ref="C2157:I2157"/>
    <mergeCell ref="D2159:I2159"/>
    <mergeCell ref="C2162:I2162"/>
    <mergeCell ref="A2146:I2146"/>
    <mergeCell ref="D2148:I2148"/>
    <mergeCell ref="C2150:I2150"/>
    <mergeCell ref="D2152:I2152"/>
    <mergeCell ref="D2153:I2153"/>
    <mergeCell ref="C2138:I2138"/>
    <mergeCell ref="C2139:I2139"/>
    <mergeCell ref="C2140:I2140"/>
    <mergeCell ref="C2141:I2141"/>
    <mergeCell ref="C2142:I2142"/>
    <mergeCell ref="C2125:I2125"/>
    <mergeCell ref="D2127:I2127"/>
    <mergeCell ref="C2130:I2130"/>
    <mergeCell ref="C2134:I2134"/>
    <mergeCell ref="C2135:I2135"/>
    <mergeCell ref="D2112:I2112"/>
    <mergeCell ref="C2115:I2115"/>
    <mergeCell ref="D2117:I2117"/>
    <mergeCell ref="C2120:I2120"/>
    <mergeCell ref="D2122:I2122"/>
    <mergeCell ref="C2100:I2100"/>
    <mergeCell ref="D2102:I2102"/>
    <mergeCell ref="C2105:I2105"/>
    <mergeCell ref="D2107:I2107"/>
    <mergeCell ref="C2110:I2110"/>
    <mergeCell ref="D2087:I2087"/>
    <mergeCell ref="C2090:I2090"/>
    <mergeCell ref="D2092:I2092"/>
    <mergeCell ref="C2095:I2095"/>
    <mergeCell ref="D2097:I2097"/>
    <mergeCell ref="C2075:I2075"/>
    <mergeCell ref="D2077:I2077"/>
    <mergeCell ref="C2080:I2080"/>
    <mergeCell ref="D2082:I2082"/>
    <mergeCell ref="C2085:I2085"/>
    <mergeCell ref="D2062:I2062"/>
    <mergeCell ref="C2065:I2065"/>
    <mergeCell ref="D2067:I2067"/>
    <mergeCell ref="C2070:I2070"/>
    <mergeCell ref="D2072:I2072"/>
    <mergeCell ref="D2055:I2055"/>
    <mergeCell ref="D2056:I2056"/>
    <mergeCell ref="D2057:I2057"/>
    <mergeCell ref="D2058:I2058"/>
    <mergeCell ref="C2060:I2060"/>
    <mergeCell ref="C2044:I2044"/>
    <mergeCell ref="C2045:I2045"/>
    <mergeCell ref="A2049:I2049"/>
    <mergeCell ref="D2051:I2051"/>
    <mergeCell ref="C2053:I2053"/>
    <mergeCell ref="C2039:I2039"/>
    <mergeCell ref="C2040:I2040"/>
    <mergeCell ref="C2041:I2041"/>
    <mergeCell ref="C2042:I2042"/>
    <mergeCell ref="C2043:I2043"/>
    <mergeCell ref="D2029:I2029"/>
    <mergeCell ref="C2032:I2032"/>
    <mergeCell ref="C2036:I2036"/>
    <mergeCell ref="C2037:I2037"/>
    <mergeCell ref="C2038:I2038"/>
    <mergeCell ref="A2018:I2018"/>
    <mergeCell ref="D2020:I2020"/>
    <mergeCell ref="C2023:I2023"/>
    <mergeCell ref="D2025:I2025"/>
    <mergeCell ref="C2027:I2027"/>
    <mergeCell ref="C2010:I2010"/>
    <mergeCell ref="C2011:I2011"/>
    <mergeCell ref="C2012:I2012"/>
    <mergeCell ref="C2013:I2013"/>
    <mergeCell ref="C2014:I2014"/>
    <mergeCell ref="D1997:I1997"/>
    <mergeCell ref="C2000:I2000"/>
    <mergeCell ref="D2002:I2002"/>
    <mergeCell ref="C2003:I2003"/>
    <mergeCell ref="C2009:I2009"/>
    <mergeCell ref="D1986:I1986"/>
    <mergeCell ref="C1989:I1989"/>
    <mergeCell ref="D1991:I1991"/>
    <mergeCell ref="C1994:I1994"/>
    <mergeCell ref="C1995:I1995"/>
    <mergeCell ref="C1974:I1974"/>
    <mergeCell ref="C1975:I1975"/>
    <mergeCell ref="A1979:I1979"/>
    <mergeCell ref="D1981:I1981"/>
    <mergeCell ref="C1984:I1984"/>
    <mergeCell ref="C1969:I1969"/>
    <mergeCell ref="C1970:I1970"/>
    <mergeCell ref="C1971:I1971"/>
    <mergeCell ref="C1972:I1972"/>
    <mergeCell ref="C1973:I1973"/>
    <mergeCell ref="C1964:I1964"/>
    <mergeCell ref="C1965:I1965"/>
    <mergeCell ref="C1966:I1966"/>
    <mergeCell ref="C1967:I1967"/>
    <mergeCell ref="C1968:I1968"/>
    <mergeCell ref="C1959:I1959"/>
    <mergeCell ref="C1960:I1960"/>
    <mergeCell ref="C1961:I1961"/>
    <mergeCell ref="C1962:I1962"/>
    <mergeCell ref="C1963:I1963"/>
    <mergeCell ref="C1954:I1954"/>
    <mergeCell ref="C1955:I1955"/>
    <mergeCell ref="C1956:I1956"/>
    <mergeCell ref="C1957:I1957"/>
    <mergeCell ref="C1958:I1958"/>
    <mergeCell ref="C1949:I1949"/>
    <mergeCell ref="C1950:I1950"/>
    <mergeCell ref="C1951:I1951"/>
    <mergeCell ref="C1952:I1952"/>
    <mergeCell ref="C1953:I1953"/>
    <mergeCell ref="C1944:I1944"/>
    <mergeCell ref="C1945:I1945"/>
    <mergeCell ref="C1946:I1946"/>
    <mergeCell ref="C1947:I1947"/>
    <mergeCell ref="C1948:I1948"/>
    <mergeCell ref="D1932:I1932"/>
    <mergeCell ref="D1933:I1933"/>
    <mergeCell ref="C1935:I1935"/>
    <mergeCell ref="D1937:I1937"/>
    <mergeCell ref="C1940:I1940"/>
    <mergeCell ref="D1927:I1927"/>
    <mergeCell ref="D1928:I1928"/>
    <mergeCell ref="D1929:I1929"/>
    <mergeCell ref="D1930:I1930"/>
    <mergeCell ref="D1931:I1931"/>
    <mergeCell ref="D1920:I1920"/>
    <mergeCell ref="C1922:I1922"/>
    <mergeCell ref="D1924:I1924"/>
    <mergeCell ref="D1925:I1925"/>
    <mergeCell ref="D1926:I1926"/>
    <mergeCell ref="D1913:I1913"/>
    <mergeCell ref="C1915:I1915"/>
    <mergeCell ref="D1917:I1917"/>
    <mergeCell ref="D1918:I1918"/>
    <mergeCell ref="D1919:I1919"/>
    <mergeCell ref="D1908:I1908"/>
    <mergeCell ref="D1909:I1909"/>
    <mergeCell ref="D1910:I1910"/>
    <mergeCell ref="D1911:I1911"/>
    <mergeCell ref="D1912:I1912"/>
    <mergeCell ref="D1903:I1903"/>
    <mergeCell ref="D1904:I1904"/>
    <mergeCell ref="D1905:I1905"/>
    <mergeCell ref="D1906:I1906"/>
    <mergeCell ref="D1907:I1907"/>
    <mergeCell ref="D1896:I1896"/>
    <mergeCell ref="D1897:I1897"/>
    <mergeCell ref="D1898:I1898"/>
    <mergeCell ref="D1899:I1899"/>
    <mergeCell ref="C1901:I1901"/>
    <mergeCell ref="D1889:I1889"/>
    <mergeCell ref="D1890:I1890"/>
    <mergeCell ref="C1892:I1892"/>
    <mergeCell ref="D1894:I1894"/>
    <mergeCell ref="D1895:I1895"/>
    <mergeCell ref="D1884:I1884"/>
    <mergeCell ref="D1885:I1885"/>
    <mergeCell ref="D1886:I1886"/>
    <mergeCell ref="D1887:I1887"/>
    <mergeCell ref="D1888:I1888"/>
    <mergeCell ref="D1879:I1879"/>
    <mergeCell ref="D1880:I1880"/>
    <mergeCell ref="D1881:I1881"/>
    <mergeCell ref="D1882:I1882"/>
    <mergeCell ref="D1883:I1883"/>
    <mergeCell ref="D1872:I1872"/>
    <mergeCell ref="D1873:I1873"/>
    <mergeCell ref="D1874:I1874"/>
    <mergeCell ref="D1875:I1875"/>
    <mergeCell ref="C1877:I1877"/>
    <mergeCell ref="D1865:I1865"/>
    <mergeCell ref="D1866:I1866"/>
    <mergeCell ref="D1867:I1867"/>
    <mergeCell ref="D1868:I1868"/>
    <mergeCell ref="C1870:I1870"/>
    <mergeCell ref="C1853:I1853"/>
    <mergeCell ref="D1855:I1855"/>
    <mergeCell ref="C1858:I1858"/>
    <mergeCell ref="D1860:I1860"/>
    <mergeCell ref="C1863:I1863"/>
    <mergeCell ref="D1847:I1847"/>
    <mergeCell ref="D1848:I1848"/>
    <mergeCell ref="D1849:I1849"/>
    <mergeCell ref="D1850:I1850"/>
    <mergeCell ref="D1851:I1851"/>
    <mergeCell ref="D1840:I1840"/>
    <mergeCell ref="D1841:I1841"/>
    <mergeCell ref="D1842:I1842"/>
    <mergeCell ref="D1843:I1843"/>
    <mergeCell ref="C1845:I1845"/>
    <mergeCell ref="D1835:I1835"/>
    <mergeCell ref="D1836:I1836"/>
    <mergeCell ref="D1837:I1837"/>
    <mergeCell ref="D1838:I1838"/>
    <mergeCell ref="D1839:I1839"/>
    <mergeCell ref="D1830:I1830"/>
    <mergeCell ref="D1831:I1831"/>
    <mergeCell ref="D1832:I1832"/>
    <mergeCell ref="D1833:I1833"/>
    <mergeCell ref="D1834:I1834"/>
    <mergeCell ref="D1823:I1823"/>
    <mergeCell ref="D1824:I1824"/>
    <mergeCell ref="D1825:I1825"/>
    <mergeCell ref="C1827:I1827"/>
    <mergeCell ref="D1829:I1829"/>
    <mergeCell ref="D1816:I1816"/>
    <mergeCell ref="D1817:I1817"/>
    <mergeCell ref="D1818:I1818"/>
    <mergeCell ref="D1819:I1819"/>
    <mergeCell ref="C1821:I1821"/>
    <mergeCell ref="D1809:I1809"/>
    <mergeCell ref="D1810:I1810"/>
    <mergeCell ref="C1812:I1812"/>
    <mergeCell ref="D1814:I1814"/>
    <mergeCell ref="D1815:I1815"/>
    <mergeCell ref="D1802:I1802"/>
    <mergeCell ref="D1803:I1803"/>
    <mergeCell ref="C1805:I1805"/>
    <mergeCell ref="D1807:I1807"/>
    <mergeCell ref="D1808:I1808"/>
    <mergeCell ref="C1796:I1796"/>
    <mergeCell ref="D1798:I1798"/>
    <mergeCell ref="D1799:I1799"/>
    <mergeCell ref="D1800:I1800"/>
    <mergeCell ref="D1801:I1801"/>
    <mergeCell ref="D1787:I1787"/>
    <mergeCell ref="D1788:I1788"/>
    <mergeCell ref="D1789:I1789"/>
    <mergeCell ref="C1791:I1791"/>
    <mergeCell ref="D1793:I1793"/>
    <mergeCell ref="D1782:I1782"/>
    <mergeCell ref="D1783:I1783"/>
    <mergeCell ref="D1784:I1784"/>
    <mergeCell ref="D1785:I1785"/>
    <mergeCell ref="D1786:I1786"/>
    <mergeCell ref="D1777:I1777"/>
    <mergeCell ref="D1778:I1778"/>
    <mergeCell ref="D1779:I1779"/>
    <mergeCell ref="D1780:I1780"/>
    <mergeCell ref="D1781:I1781"/>
    <mergeCell ref="D1769:I1769"/>
    <mergeCell ref="C1772:I1772"/>
    <mergeCell ref="D1774:I1774"/>
    <mergeCell ref="D1775:I1775"/>
    <mergeCell ref="D1776:I1776"/>
    <mergeCell ref="D1762:I1762"/>
    <mergeCell ref="D1763:I1763"/>
    <mergeCell ref="D1764:I1764"/>
    <mergeCell ref="D1765:I1765"/>
    <mergeCell ref="C1767:I1767"/>
    <mergeCell ref="C1750:I1750"/>
    <mergeCell ref="A1754:I1754"/>
    <mergeCell ref="D1756:I1756"/>
    <mergeCell ref="C1759:I1759"/>
    <mergeCell ref="D1761:I1761"/>
    <mergeCell ref="C1745:I1745"/>
    <mergeCell ref="C1746:I1746"/>
    <mergeCell ref="C1747:I1747"/>
    <mergeCell ref="C1748:I1748"/>
    <mergeCell ref="C1749:I1749"/>
    <mergeCell ref="C1740:I1740"/>
    <mergeCell ref="C1741:I1741"/>
    <mergeCell ref="C1742:I1742"/>
    <mergeCell ref="C1743:I1743"/>
    <mergeCell ref="C1744:I1744"/>
    <mergeCell ref="C1735:I1735"/>
    <mergeCell ref="C1736:I1736"/>
    <mergeCell ref="C1737:I1737"/>
    <mergeCell ref="C1738:I1738"/>
    <mergeCell ref="C1739:I1739"/>
    <mergeCell ref="C1730:I1730"/>
    <mergeCell ref="C1731:I1731"/>
    <mergeCell ref="C1732:I1732"/>
    <mergeCell ref="C1733:I1733"/>
    <mergeCell ref="C1734:I1734"/>
    <mergeCell ref="C1725:I1725"/>
    <mergeCell ref="C1726:I1726"/>
    <mergeCell ref="C1727:I1727"/>
    <mergeCell ref="C1728:I1728"/>
    <mergeCell ref="C1729:I1729"/>
    <mergeCell ref="C1720:I1720"/>
    <mergeCell ref="C1721:I1721"/>
    <mergeCell ref="C1722:I1722"/>
    <mergeCell ref="C1723:I1723"/>
    <mergeCell ref="C1724:I1724"/>
    <mergeCell ref="C1709:I1709"/>
    <mergeCell ref="D1711:I1711"/>
    <mergeCell ref="C1714:I1714"/>
    <mergeCell ref="C1718:I1718"/>
    <mergeCell ref="C1719:I1719"/>
    <mergeCell ref="D1703:I1703"/>
    <mergeCell ref="D1704:I1704"/>
    <mergeCell ref="D1705:I1705"/>
    <mergeCell ref="D1706:I1706"/>
    <mergeCell ref="D1707:I1707"/>
    <mergeCell ref="D1698:I1698"/>
    <mergeCell ref="D1699:I1699"/>
    <mergeCell ref="D1700:I1700"/>
    <mergeCell ref="D1701:I1701"/>
    <mergeCell ref="D1702:I1702"/>
    <mergeCell ref="D1688:I1688"/>
    <mergeCell ref="C1690:I1690"/>
    <mergeCell ref="D1692:I1692"/>
    <mergeCell ref="C1695:I1695"/>
    <mergeCell ref="D1697:I1697"/>
    <mergeCell ref="D1681:I1681"/>
    <mergeCell ref="C1683:I1683"/>
    <mergeCell ref="D1685:I1685"/>
    <mergeCell ref="D1686:I1686"/>
    <mergeCell ref="D1687:I1687"/>
    <mergeCell ref="D1676:I1676"/>
    <mergeCell ref="D1677:I1677"/>
    <mergeCell ref="D1678:I1678"/>
    <mergeCell ref="D1679:I1679"/>
    <mergeCell ref="D1680:I1680"/>
    <mergeCell ref="D1665:I1665"/>
    <mergeCell ref="C1668:I1668"/>
    <mergeCell ref="D1670:I1670"/>
    <mergeCell ref="C1673:I1673"/>
    <mergeCell ref="D1675:I1675"/>
    <mergeCell ref="D1655:I1655"/>
    <mergeCell ref="D1656:I1656"/>
    <mergeCell ref="C1658:I1658"/>
    <mergeCell ref="D1660:I1660"/>
    <mergeCell ref="C1663:I1663"/>
    <mergeCell ref="D1648:I1648"/>
    <mergeCell ref="D1649:I1649"/>
    <mergeCell ref="C1651:I1651"/>
    <mergeCell ref="D1653:I1653"/>
    <mergeCell ref="D1654:I1654"/>
    <mergeCell ref="D1640:I1640"/>
    <mergeCell ref="C1643:I1643"/>
    <mergeCell ref="D1645:I1645"/>
    <mergeCell ref="D1646:I1646"/>
    <mergeCell ref="D1647:I1647"/>
    <mergeCell ref="D1633:I1633"/>
    <mergeCell ref="D1634:I1634"/>
    <mergeCell ref="D1635:I1635"/>
    <mergeCell ref="D1636:I1636"/>
    <mergeCell ref="C1638:I1638"/>
    <mergeCell ref="D1626:I1626"/>
    <mergeCell ref="C1628:I1628"/>
    <mergeCell ref="D1630:I1630"/>
    <mergeCell ref="D1631:I1631"/>
    <mergeCell ref="D1632:I1632"/>
    <mergeCell ref="D1621:I1621"/>
    <mergeCell ref="D1622:I1622"/>
    <mergeCell ref="D1623:I1623"/>
    <mergeCell ref="D1624:I1624"/>
    <mergeCell ref="D1625:I1625"/>
    <mergeCell ref="D1616:I1616"/>
    <mergeCell ref="D1617:I1617"/>
    <mergeCell ref="D1618:I1618"/>
    <mergeCell ref="D1619:I1619"/>
    <mergeCell ref="D1620:I1620"/>
    <mergeCell ref="D1609:I1609"/>
    <mergeCell ref="D1610:I1610"/>
    <mergeCell ref="C1612:I1612"/>
    <mergeCell ref="D1614:I1614"/>
    <mergeCell ref="D1615:I1615"/>
    <mergeCell ref="D1602:I1602"/>
    <mergeCell ref="D1603:I1603"/>
    <mergeCell ref="C1605:I1605"/>
    <mergeCell ref="D1607:I1607"/>
    <mergeCell ref="D1608:I1608"/>
    <mergeCell ref="D1594:I1594"/>
    <mergeCell ref="C1597:I1597"/>
    <mergeCell ref="D1599:I1599"/>
    <mergeCell ref="D1600:I1600"/>
    <mergeCell ref="D1601:I1601"/>
    <mergeCell ref="C1582:I1582"/>
    <mergeCell ref="D1584:I1584"/>
    <mergeCell ref="C1587:I1587"/>
    <mergeCell ref="D1589:I1589"/>
    <mergeCell ref="C1592:I1592"/>
    <mergeCell ref="D1576:I1576"/>
    <mergeCell ref="D1577:I1577"/>
    <mergeCell ref="D1578:I1578"/>
    <mergeCell ref="D1579:I1579"/>
    <mergeCell ref="D1580:I1580"/>
    <mergeCell ref="C1564:I1564"/>
    <mergeCell ref="C1565:I1565"/>
    <mergeCell ref="A1569:I1569"/>
    <mergeCell ref="D1571:I1571"/>
    <mergeCell ref="C1574:I1574"/>
    <mergeCell ref="C1559:I1559"/>
    <mergeCell ref="C1560:I1560"/>
    <mergeCell ref="C1561:I1561"/>
    <mergeCell ref="C1562:I1562"/>
    <mergeCell ref="C1563:I1563"/>
    <mergeCell ref="C1554:I1554"/>
    <mergeCell ref="C1555:I1555"/>
    <mergeCell ref="C1556:I1556"/>
    <mergeCell ref="C1557:I1557"/>
    <mergeCell ref="C1558:I1558"/>
    <mergeCell ref="C1549:I1549"/>
    <mergeCell ref="C1550:I1550"/>
    <mergeCell ref="C1551:I1551"/>
    <mergeCell ref="C1552:I1552"/>
    <mergeCell ref="C1553:I1553"/>
    <mergeCell ref="C1538:I1538"/>
    <mergeCell ref="D1540:I1540"/>
    <mergeCell ref="C1543:I1543"/>
    <mergeCell ref="C1547:I1547"/>
    <mergeCell ref="C1548:I1548"/>
    <mergeCell ref="D1528:I1528"/>
    <mergeCell ref="C1530:I1530"/>
    <mergeCell ref="D1532:I1532"/>
    <mergeCell ref="C1533:I1533"/>
    <mergeCell ref="D1535:I1535"/>
    <mergeCell ref="D1523:I1523"/>
    <mergeCell ref="D1524:I1524"/>
    <mergeCell ref="D1525:I1525"/>
    <mergeCell ref="D1526:I1526"/>
    <mergeCell ref="D1527:I1527"/>
    <mergeCell ref="D1516:I1516"/>
    <mergeCell ref="D1517:I1517"/>
    <mergeCell ref="D1518:I1518"/>
    <mergeCell ref="C1520:I1520"/>
    <mergeCell ref="D1522:I1522"/>
    <mergeCell ref="D1511:I1511"/>
    <mergeCell ref="D1512:I1512"/>
    <mergeCell ref="D1513:I1513"/>
    <mergeCell ref="D1514:I1514"/>
    <mergeCell ref="D1515:I1515"/>
    <mergeCell ref="D1504:I1504"/>
    <mergeCell ref="D1505:I1505"/>
    <mergeCell ref="D1506:I1506"/>
    <mergeCell ref="C1508:I1508"/>
    <mergeCell ref="D1510:I1510"/>
    <mergeCell ref="D1497:I1497"/>
    <mergeCell ref="D1498:I1498"/>
    <mergeCell ref="D1499:I1499"/>
    <mergeCell ref="C1501:I1501"/>
    <mergeCell ref="D1503:I1503"/>
    <mergeCell ref="D1486:I1486"/>
    <mergeCell ref="C1489:I1489"/>
    <mergeCell ref="D1491:I1491"/>
    <mergeCell ref="C1494:I1494"/>
    <mergeCell ref="D1496:I1496"/>
    <mergeCell ref="D1479:I1479"/>
    <mergeCell ref="D1480:I1480"/>
    <mergeCell ref="D1481:I1481"/>
    <mergeCell ref="D1482:I1482"/>
    <mergeCell ref="C1484:I1484"/>
    <mergeCell ref="D1472:I1472"/>
    <mergeCell ref="D1473:I1473"/>
    <mergeCell ref="D1474:I1474"/>
    <mergeCell ref="C1476:I1476"/>
    <mergeCell ref="D1478:I1478"/>
    <mergeCell ref="C1463:I1463"/>
    <mergeCell ref="C1464:I1464"/>
    <mergeCell ref="A1468:I1468"/>
    <mergeCell ref="D1470:I1470"/>
    <mergeCell ref="D1471:I1471"/>
    <mergeCell ref="C1458:I1458"/>
    <mergeCell ref="C1459:I1459"/>
    <mergeCell ref="C1460:I1460"/>
    <mergeCell ref="C1461:I1461"/>
    <mergeCell ref="C1462:I1462"/>
    <mergeCell ref="C1453:I1453"/>
    <mergeCell ref="C1454:I1454"/>
    <mergeCell ref="C1455:I1455"/>
    <mergeCell ref="C1456:I1456"/>
    <mergeCell ref="C1457:I1457"/>
    <mergeCell ref="C1445:I1445"/>
    <mergeCell ref="C1449:I1449"/>
    <mergeCell ref="C1450:I1450"/>
    <mergeCell ref="C1451:I1451"/>
    <mergeCell ref="C1452:I1452"/>
    <mergeCell ref="D1436:I1436"/>
    <mergeCell ref="C1437:I1437"/>
    <mergeCell ref="D1439:I1439"/>
    <mergeCell ref="C1440:I1440"/>
    <mergeCell ref="D1442:I1442"/>
    <mergeCell ref="D1429:I1429"/>
    <mergeCell ref="D1430:I1430"/>
    <mergeCell ref="D1431:I1431"/>
    <mergeCell ref="D1432:I1432"/>
    <mergeCell ref="C1434:I1434"/>
    <mergeCell ref="D1419:I1419"/>
    <mergeCell ref="D1420:I1420"/>
    <mergeCell ref="C1422:I1422"/>
    <mergeCell ref="D1424:I1424"/>
    <mergeCell ref="C1427:I1427"/>
    <mergeCell ref="D1414:I1414"/>
    <mergeCell ref="D1415:I1415"/>
    <mergeCell ref="D1416:I1416"/>
    <mergeCell ref="D1417:I1417"/>
    <mergeCell ref="D1418:I1418"/>
    <mergeCell ref="D1407:I1407"/>
    <mergeCell ref="C1409:I1409"/>
    <mergeCell ref="D1411:I1411"/>
    <mergeCell ref="D1412:I1412"/>
    <mergeCell ref="D1413:I1413"/>
    <mergeCell ref="D1399:I1399"/>
    <mergeCell ref="C1402:I1402"/>
    <mergeCell ref="D1404:I1404"/>
    <mergeCell ref="D1405:I1405"/>
    <mergeCell ref="D1406:I1406"/>
    <mergeCell ref="D1392:I1392"/>
    <mergeCell ref="D1393:I1393"/>
    <mergeCell ref="D1394:I1394"/>
    <mergeCell ref="D1395:I1395"/>
    <mergeCell ref="C1397:I1397"/>
    <mergeCell ref="D1385:I1385"/>
    <mergeCell ref="D1386:I1386"/>
    <mergeCell ref="D1387:I1387"/>
    <mergeCell ref="C1389:I1389"/>
    <mergeCell ref="D1391:I1391"/>
    <mergeCell ref="A1379:I1379"/>
    <mergeCell ref="D1381:I1381"/>
    <mergeCell ref="D1382:I1382"/>
    <mergeCell ref="D1383:I1383"/>
    <mergeCell ref="D1384:I1384"/>
    <mergeCell ref="C1371:I1371"/>
    <mergeCell ref="C1372:I1372"/>
    <mergeCell ref="C1373:I1373"/>
    <mergeCell ref="C1374:I1374"/>
    <mergeCell ref="C1375:I1375"/>
    <mergeCell ref="C1364:I1364"/>
    <mergeCell ref="C1367:I1367"/>
    <mergeCell ref="C1368:I1368"/>
    <mergeCell ref="C1369:I1369"/>
    <mergeCell ref="C1370:I1370"/>
    <mergeCell ref="C1352:I1352"/>
    <mergeCell ref="C1353:I1353"/>
    <mergeCell ref="D1355:I1355"/>
    <mergeCell ref="C1359:I1359"/>
    <mergeCell ref="C1360:I1360"/>
    <mergeCell ref="D1342:I1342"/>
    <mergeCell ref="C1344:I1344"/>
    <mergeCell ref="C1345:I1345"/>
    <mergeCell ref="B1347:I1347"/>
    <mergeCell ref="D1348:I1348"/>
    <mergeCell ref="D1337:I1337"/>
    <mergeCell ref="D1338:I1338"/>
    <mergeCell ref="D1339:I1339"/>
    <mergeCell ref="D1340:I1340"/>
    <mergeCell ref="D1341:I1341"/>
    <mergeCell ref="C1331:I1331"/>
    <mergeCell ref="C1332:I1332"/>
    <mergeCell ref="D1334:I1334"/>
    <mergeCell ref="D1335:I1335"/>
    <mergeCell ref="D1336:I1336"/>
    <mergeCell ref="D1325:I1325"/>
    <mergeCell ref="D1326:I1326"/>
    <mergeCell ref="D1327:I1327"/>
    <mergeCell ref="D1328:I1328"/>
    <mergeCell ref="D1329:I1329"/>
    <mergeCell ref="D1318:I1318"/>
    <mergeCell ref="C1320:I1320"/>
    <mergeCell ref="C1321:I1321"/>
    <mergeCell ref="D1323:I1323"/>
    <mergeCell ref="D1324:I1324"/>
    <mergeCell ref="D1313:I1313"/>
    <mergeCell ref="D1314:I1314"/>
    <mergeCell ref="D1315:I1315"/>
    <mergeCell ref="D1316:I1316"/>
    <mergeCell ref="D1317:I1317"/>
    <mergeCell ref="D1306:I1306"/>
    <mergeCell ref="D1307:I1307"/>
    <mergeCell ref="D1308:I1308"/>
    <mergeCell ref="C1310:I1310"/>
    <mergeCell ref="C1311:I1311"/>
    <mergeCell ref="C1300:I1300"/>
    <mergeCell ref="C1301:I1301"/>
    <mergeCell ref="B1303:I1303"/>
    <mergeCell ref="D1304:I1304"/>
    <mergeCell ref="D1305:I1305"/>
    <mergeCell ref="C1289:I1289"/>
    <mergeCell ref="D1291:I1291"/>
    <mergeCell ref="C1294:I1294"/>
    <mergeCell ref="C1295:I1295"/>
    <mergeCell ref="D1297:I1297"/>
    <mergeCell ref="D1280:I1280"/>
    <mergeCell ref="C1282:I1282"/>
    <mergeCell ref="C1283:I1283"/>
    <mergeCell ref="D1285:I1285"/>
    <mergeCell ref="C1288:I1288"/>
    <mergeCell ref="C1274:I1274"/>
    <mergeCell ref="C1275:I1275"/>
    <mergeCell ref="D1277:I1277"/>
    <mergeCell ref="D1278:I1278"/>
    <mergeCell ref="D1279:I1279"/>
    <mergeCell ref="C1267:I1267"/>
    <mergeCell ref="D1269:I1269"/>
    <mergeCell ref="D1270:I1270"/>
    <mergeCell ref="D1271:I1271"/>
    <mergeCell ref="D1272:I1272"/>
    <mergeCell ref="D1261:I1261"/>
    <mergeCell ref="D1262:I1262"/>
    <mergeCell ref="D1263:I1263"/>
    <mergeCell ref="D1264:I1264"/>
    <mergeCell ref="C1266:I1266"/>
    <mergeCell ref="B1252:I1252"/>
    <mergeCell ref="D1253:I1253"/>
    <mergeCell ref="C1257:I1257"/>
    <mergeCell ref="C1258:I1258"/>
    <mergeCell ref="D1260:I1260"/>
    <mergeCell ref="C1242:I1242"/>
    <mergeCell ref="C1243:I1243"/>
    <mergeCell ref="D1245:I1245"/>
    <mergeCell ref="C1249:I1249"/>
    <mergeCell ref="C1250:I1250"/>
    <mergeCell ref="C1229:I1229"/>
    <mergeCell ref="D1231:I1231"/>
    <mergeCell ref="C1235:I1235"/>
    <mergeCell ref="C1236:I1236"/>
    <mergeCell ref="D1238:I1238"/>
    <mergeCell ref="D1217:I1217"/>
    <mergeCell ref="C1221:I1221"/>
    <mergeCell ref="C1222:I1222"/>
    <mergeCell ref="D1224:I1224"/>
    <mergeCell ref="C1228:I1228"/>
    <mergeCell ref="D1210:I1210"/>
    <mergeCell ref="D1211:I1211"/>
    <mergeCell ref="D1212:I1212"/>
    <mergeCell ref="C1214:I1214"/>
    <mergeCell ref="B1216:I1216"/>
    <mergeCell ref="A1202:I1202"/>
    <mergeCell ref="D1204:I1204"/>
    <mergeCell ref="C1206:I1206"/>
    <mergeCell ref="D1208:I1208"/>
    <mergeCell ref="D1209:I1209"/>
    <mergeCell ref="C1194:I1194"/>
    <mergeCell ref="C1195:I1195"/>
    <mergeCell ref="C1196:I1196"/>
    <mergeCell ref="C1197:I1197"/>
    <mergeCell ref="C1198:I1198"/>
    <mergeCell ref="C1189:I1189"/>
    <mergeCell ref="C1190:I1190"/>
    <mergeCell ref="C1191:I1191"/>
    <mergeCell ref="C1192:I1192"/>
    <mergeCell ref="C1193:I1193"/>
    <mergeCell ref="D1179:I1179"/>
    <mergeCell ref="C1181:I1181"/>
    <mergeCell ref="D1183:I1183"/>
    <mergeCell ref="C1184:I1184"/>
    <mergeCell ref="C1188:I1188"/>
    <mergeCell ref="C1170:I1170"/>
    <mergeCell ref="C1171:I1171"/>
    <mergeCell ref="A1175:I1175"/>
    <mergeCell ref="D1177:I1177"/>
    <mergeCell ref="D1178:I1178"/>
    <mergeCell ref="C1156:I1156"/>
    <mergeCell ref="D1158:I1158"/>
    <mergeCell ref="C1162:I1162"/>
    <mergeCell ref="C1163:I1163"/>
    <mergeCell ref="C1169:I1169"/>
    <mergeCell ref="D1144:I1144"/>
    <mergeCell ref="C1148:I1148"/>
    <mergeCell ref="C1149:I1149"/>
    <mergeCell ref="D1151:I1151"/>
    <mergeCell ref="C1155:I1155"/>
    <mergeCell ref="C1134:I1134"/>
    <mergeCell ref="C1135:I1135"/>
    <mergeCell ref="D1137:I1137"/>
    <mergeCell ref="C1141:I1141"/>
    <mergeCell ref="C1142:I1142"/>
    <mergeCell ref="D1120:I1120"/>
    <mergeCell ref="C1122:I1122"/>
    <mergeCell ref="D1124:I1124"/>
    <mergeCell ref="C1128:I1128"/>
    <mergeCell ref="D1130:I1130"/>
    <mergeCell ref="C1114:I1114"/>
    <mergeCell ref="D1116:I1116"/>
    <mergeCell ref="D1117:I1117"/>
    <mergeCell ref="D1118:I1118"/>
    <mergeCell ref="D1119:I1119"/>
    <mergeCell ref="C1103:I1103"/>
    <mergeCell ref="D1105:I1105"/>
    <mergeCell ref="C1108:I1108"/>
    <mergeCell ref="C1109:I1109"/>
    <mergeCell ref="D1111:I1111"/>
    <mergeCell ref="D1097:I1097"/>
    <mergeCell ref="D1098:I1098"/>
    <mergeCell ref="D1099:I1099"/>
    <mergeCell ref="D1100:I1100"/>
    <mergeCell ref="D1101:I1101"/>
    <mergeCell ref="D1090:I1090"/>
    <mergeCell ref="C1092:I1092"/>
    <mergeCell ref="D1094:I1094"/>
    <mergeCell ref="D1095:I1095"/>
    <mergeCell ref="D1096:I1096"/>
    <mergeCell ref="D1085:I1085"/>
    <mergeCell ref="D1086:I1086"/>
    <mergeCell ref="D1087:I1087"/>
    <mergeCell ref="D1088:I1088"/>
    <mergeCell ref="D1089:I1089"/>
    <mergeCell ref="D1078:I1078"/>
    <mergeCell ref="D1079:I1079"/>
    <mergeCell ref="D1080:I1080"/>
    <mergeCell ref="C1082:I1082"/>
    <mergeCell ref="D1084:I1084"/>
    <mergeCell ref="C1072:I1072"/>
    <mergeCell ref="D1074:I1074"/>
    <mergeCell ref="D1075:I1075"/>
    <mergeCell ref="D1076:I1076"/>
    <mergeCell ref="D1077:I1077"/>
    <mergeCell ref="D1066:I1066"/>
    <mergeCell ref="D1067:I1067"/>
    <mergeCell ref="D1068:I1068"/>
    <mergeCell ref="D1069:I1069"/>
    <mergeCell ref="D1070:I1070"/>
    <mergeCell ref="C1054:I1054"/>
    <mergeCell ref="C1055:I1055"/>
    <mergeCell ref="A1059:I1059"/>
    <mergeCell ref="D1061:I1061"/>
    <mergeCell ref="C1064:I1064"/>
    <mergeCell ref="D1041:I1041"/>
    <mergeCell ref="C1045:I1045"/>
    <mergeCell ref="C1046:I1046"/>
    <mergeCell ref="C1052:I1052"/>
    <mergeCell ref="C1053:I1053"/>
    <mergeCell ref="C1031:I1031"/>
    <mergeCell ref="C1032:I1032"/>
    <mergeCell ref="D1034:I1034"/>
    <mergeCell ref="C1038:I1038"/>
    <mergeCell ref="C1039:I1039"/>
    <mergeCell ref="D1017:I1017"/>
    <mergeCell ref="C1019:I1019"/>
    <mergeCell ref="D1021:I1021"/>
    <mergeCell ref="C1025:I1025"/>
    <mergeCell ref="D1027:I1027"/>
    <mergeCell ref="C1011:I1011"/>
    <mergeCell ref="D1013:I1013"/>
    <mergeCell ref="D1014:I1014"/>
    <mergeCell ref="D1015:I1015"/>
    <mergeCell ref="D1016:I1016"/>
    <mergeCell ref="C1000:I1000"/>
    <mergeCell ref="D1002:I1002"/>
    <mergeCell ref="C1005:I1005"/>
    <mergeCell ref="C1006:I1006"/>
    <mergeCell ref="D1008:I1008"/>
    <mergeCell ref="D994:I994"/>
    <mergeCell ref="D995:I995"/>
    <mergeCell ref="D996:I996"/>
    <mergeCell ref="D997:I997"/>
    <mergeCell ref="D998:I998"/>
    <mergeCell ref="D987:I987"/>
    <mergeCell ref="D988:I988"/>
    <mergeCell ref="C990:I990"/>
    <mergeCell ref="D992:I992"/>
    <mergeCell ref="D993:I993"/>
    <mergeCell ref="D982:I982"/>
    <mergeCell ref="D983:I983"/>
    <mergeCell ref="D984:I984"/>
    <mergeCell ref="D985:I985"/>
    <mergeCell ref="D986:I986"/>
    <mergeCell ref="C976:I976"/>
    <mergeCell ref="D978:I978"/>
    <mergeCell ref="D979:I979"/>
    <mergeCell ref="D980:I980"/>
    <mergeCell ref="D981:I981"/>
    <mergeCell ref="D963:I963"/>
    <mergeCell ref="C966:I966"/>
    <mergeCell ref="D968:I968"/>
    <mergeCell ref="C971:I971"/>
    <mergeCell ref="D973:I973"/>
    <mergeCell ref="D950:I950"/>
    <mergeCell ref="C952:I952"/>
    <mergeCell ref="C956:I956"/>
    <mergeCell ref="C957:I957"/>
    <mergeCell ref="A961:I961"/>
    <mergeCell ref="D943:I943"/>
    <mergeCell ref="C945:I945"/>
    <mergeCell ref="D947:I947"/>
    <mergeCell ref="D948:I948"/>
    <mergeCell ref="D949:I949"/>
    <mergeCell ref="D938:I938"/>
    <mergeCell ref="D939:I939"/>
    <mergeCell ref="D940:I940"/>
    <mergeCell ref="D941:I941"/>
    <mergeCell ref="D942:I942"/>
    <mergeCell ref="A932:I932"/>
    <mergeCell ref="D934:I934"/>
    <mergeCell ref="D935:I935"/>
    <mergeCell ref="D936:I936"/>
    <mergeCell ref="D937:I937"/>
    <mergeCell ref="C918:I918"/>
    <mergeCell ref="D920:I920"/>
    <mergeCell ref="C923:I923"/>
    <mergeCell ref="C927:I927"/>
    <mergeCell ref="C928:I928"/>
    <mergeCell ref="D904:I904"/>
    <mergeCell ref="C908:I908"/>
    <mergeCell ref="D910:I910"/>
    <mergeCell ref="C913:I913"/>
    <mergeCell ref="D915:I915"/>
    <mergeCell ref="C890:I890"/>
    <mergeCell ref="D892:I892"/>
    <mergeCell ref="C896:I896"/>
    <mergeCell ref="D898:I898"/>
    <mergeCell ref="C902:I902"/>
    <mergeCell ref="C877:I877"/>
    <mergeCell ref="B879:I879"/>
    <mergeCell ref="D880:I880"/>
    <mergeCell ref="C884:I884"/>
    <mergeCell ref="D886:I886"/>
    <mergeCell ref="D861:I861"/>
    <mergeCell ref="C865:I865"/>
    <mergeCell ref="D867:I867"/>
    <mergeCell ref="C871:I871"/>
    <mergeCell ref="D873:I873"/>
    <mergeCell ref="C848:I848"/>
    <mergeCell ref="D850:I850"/>
    <mergeCell ref="C853:I853"/>
    <mergeCell ref="D855:I855"/>
    <mergeCell ref="C859:I859"/>
    <mergeCell ref="D832:I832"/>
    <mergeCell ref="C836:I836"/>
    <mergeCell ref="D838:I838"/>
    <mergeCell ref="C842:I842"/>
    <mergeCell ref="D844:I844"/>
    <mergeCell ref="C818:I818"/>
    <mergeCell ref="D820:I820"/>
    <mergeCell ref="C824:I824"/>
    <mergeCell ref="D826:I826"/>
    <mergeCell ref="C830:I830"/>
    <mergeCell ref="D805:I805"/>
    <mergeCell ref="C807:I807"/>
    <mergeCell ref="D809:I809"/>
    <mergeCell ref="C813:I813"/>
    <mergeCell ref="D815:I815"/>
    <mergeCell ref="A796:I796"/>
    <mergeCell ref="D798:I798"/>
    <mergeCell ref="C801:I801"/>
    <mergeCell ref="D803:I803"/>
    <mergeCell ref="D804:I804"/>
    <mergeCell ref="C783:I783"/>
    <mergeCell ref="C784:I784"/>
    <mergeCell ref="C790:I790"/>
    <mergeCell ref="C791:I791"/>
    <mergeCell ref="C792:I792"/>
    <mergeCell ref="C771:I771"/>
    <mergeCell ref="D773:I773"/>
    <mergeCell ref="C777:I777"/>
    <mergeCell ref="C778:I778"/>
    <mergeCell ref="D780:I780"/>
    <mergeCell ref="D759:I759"/>
    <mergeCell ref="C763:I763"/>
    <mergeCell ref="C764:I764"/>
    <mergeCell ref="D766:I766"/>
    <mergeCell ref="C770:I770"/>
    <mergeCell ref="C749:I749"/>
    <mergeCell ref="C750:I750"/>
    <mergeCell ref="D752:I752"/>
    <mergeCell ref="C756:I756"/>
    <mergeCell ref="C757:I757"/>
    <mergeCell ref="C736:I736"/>
    <mergeCell ref="D738:I738"/>
    <mergeCell ref="C742:I742"/>
    <mergeCell ref="C743:I743"/>
    <mergeCell ref="D745:I745"/>
    <mergeCell ref="D724:I724"/>
    <mergeCell ref="C728:I728"/>
    <mergeCell ref="C729:I729"/>
    <mergeCell ref="D731:I731"/>
    <mergeCell ref="C735:I735"/>
    <mergeCell ref="C714:I714"/>
    <mergeCell ref="C715:I715"/>
    <mergeCell ref="D717:I717"/>
    <mergeCell ref="C721:I721"/>
    <mergeCell ref="C722:I722"/>
    <mergeCell ref="D704:I704"/>
    <mergeCell ref="D705:I705"/>
    <mergeCell ref="C707:I707"/>
    <mergeCell ref="C708:I708"/>
    <mergeCell ref="D710:I710"/>
    <mergeCell ref="D699:I699"/>
    <mergeCell ref="D700:I700"/>
    <mergeCell ref="D701:I701"/>
    <mergeCell ref="D702:I702"/>
    <mergeCell ref="D703:I703"/>
    <mergeCell ref="D692:I692"/>
    <mergeCell ref="C694:I694"/>
    <mergeCell ref="C695:I695"/>
    <mergeCell ref="D697:I697"/>
    <mergeCell ref="D698:I698"/>
    <mergeCell ref="D687:I687"/>
    <mergeCell ref="D688:I688"/>
    <mergeCell ref="D689:I689"/>
    <mergeCell ref="D690:I690"/>
    <mergeCell ref="D691:I691"/>
    <mergeCell ref="D680:I680"/>
    <mergeCell ref="D681:I681"/>
    <mergeCell ref="C683:I683"/>
    <mergeCell ref="C684:I684"/>
    <mergeCell ref="D686:I686"/>
    <mergeCell ref="C674:I674"/>
    <mergeCell ref="D676:I676"/>
    <mergeCell ref="D677:I677"/>
    <mergeCell ref="D678:I678"/>
    <mergeCell ref="D679:I679"/>
    <mergeCell ref="D668:I668"/>
    <mergeCell ref="D669:I669"/>
    <mergeCell ref="D670:I670"/>
    <mergeCell ref="D671:I671"/>
    <mergeCell ref="C673:I673"/>
    <mergeCell ref="C659:I659"/>
    <mergeCell ref="D661:I661"/>
    <mergeCell ref="C664:I664"/>
    <mergeCell ref="B666:I666"/>
    <mergeCell ref="D667:I667"/>
    <mergeCell ref="D650:I650"/>
    <mergeCell ref="D651:I651"/>
    <mergeCell ref="D652:I652"/>
    <mergeCell ref="C654:I654"/>
    <mergeCell ref="D656:I656"/>
    <mergeCell ref="D645:I645"/>
    <mergeCell ref="D646:I646"/>
    <mergeCell ref="D647:I647"/>
    <mergeCell ref="D648:I648"/>
    <mergeCell ref="D649:I649"/>
    <mergeCell ref="C637:I637"/>
    <mergeCell ref="D639:I639"/>
    <mergeCell ref="D640:I640"/>
    <mergeCell ref="D641:I641"/>
    <mergeCell ref="C643:I643"/>
    <mergeCell ref="D631:I631"/>
    <mergeCell ref="D632:I632"/>
    <mergeCell ref="D633:I633"/>
    <mergeCell ref="D634:I634"/>
    <mergeCell ref="D635:I635"/>
    <mergeCell ref="C622:I622"/>
    <mergeCell ref="D624:I624"/>
    <mergeCell ref="C627:I627"/>
    <mergeCell ref="D629:I629"/>
    <mergeCell ref="D630:I630"/>
    <mergeCell ref="D609:I609"/>
    <mergeCell ref="C612:I612"/>
    <mergeCell ref="D614:I614"/>
    <mergeCell ref="C617:I617"/>
    <mergeCell ref="D619:I619"/>
    <mergeCell ref="C597:I597"/>
    <mergeCell ref="D599:I599"/>
    <mergeCell ref="C602:I602"/>
    <mergeCell ref="D604:I604"/>
    <mergeCell ref="C607:I607"/>
    <mergeCell ref="C586:I586"/>
    <mergeCell ref="C587:I587"/>
    <mergeCell ref="A591:I591"/>
    <mergeCell ref="B593:I593"/>
    <mergeCell ref="D594:I594"/>
    <mergeCell ref="C581:I581"/>
    <mergeCell ref="C582:I582"/>
    <mergeCell ref="C583:I583"/>
    <mergeCell ref="C584:I584"/>
    <mergeCell ref="C585:I585"/>
    <mergeCell ref="C571:I571"/>
    <mergeCell ref="C575:I575"/>
    <mergeCell ref="C578:I578"/>
    <mergeCell ref="C579:I579"/>
    <mergeCell ref="C580:I580"/>
    <mergeCell ref="D565:I565"/>
    <mergeCell ref="D566:I566"/>
    <mergeCell ref="D567:I567"/>
    <mergeCell ref="D568:I568"/>
    <mergeCell ref="D569:I569"/>
    <mergeCell ref="D558:I558"/>
    <mergeCell ref="D559:I559"/>
    <mergeCell ref="C561:I561"/>
    <mergeCell ref="D563:I563"/>
    <mergeCell ref="D564:I564"/>
    <mergeCell ref="D553:I553"/>
    <mergeCell ref="D554:I554"/>
    <mergeCell ref="D555:I555"/>
    <mergeCell ref="D556:I556"/>
    <mergeCell ref="D557:I557"/>
    <mergeCell ref="D546:I546"/>
    <mergeCell ref="D547:I547"/>
    <mergeCell ref="D548:I548"/>
    <mergeCell ref="C550:I550"/>
    <mergeCell ref="D552:I552"/>
    <mergeCell ref="D539:I539"/>
    <mergeCell ref="D540:I540"/>
    <mergeCell ref="D541:I541"/>
    <mergeCell ref="C543:I543"/>
    <mergeCell ref="D545:I545"/>
    <mergeCell ref="D532:I532"/>
    <mergeCell ref="C534:I534"/>
    <mergeCell ref="D536:I536"/>
    <mergeCell ref="D537:I537"/>
    <mergeCell ref="D538:I538"/>
    <mergeCell ref="D522:I522"/>
    <mergeCell ref="D523:I523"/>
    <mergeCell ref="C525:I525"/>
    <mergeCell ref="D527:I527"/>
    <mergeCell ref="C530:I530"/>
    <mergeCell ref="C513:I513"/>
    <mergeCell ref="C514:I514"/>
    <mergeCell ref="A518:I518"/>
    <mergeCell ref="D520:I520"/>
    <mergeCell ref="D521:I521"/>
    <mergeCell ref="C508:I508"/>
    <mergeCell ref="C509:I509"/>
    <mergeCell ref="C510:I510"/>
    <mergeCell ref="C511:I511"/>
    <mergeCell ref="C512:I512"/>
    <mergeCell ref="C500:I500"/>
    <mergeCell ref="C504:I504"/>
    <mergeCell ref="C505:I505"/>
    <mergeCell ref="C506:I506"/>
    <mergeCell ref="C507:I507"/>
    <mergeCell ref="D494:I494"/>
    <mergeCell ref="D495:I495"/>
    <mergeCell ref="D496:I496"/>
    <mergeCell ref="D497:I497"/>
    <mergeCell ref="D498:I498"/>
    <mergeCell ref="D489:I489"/>
    <mergeCell ref="D490:I490"/>
    <mergeCell ref="D491:I491"/>
    <mergeCell ref="D492:I492"/>
    <mergeCell ref="D493:I493"/>
    <mergeCell ref="D482:I482"/>
    <mergeCell ref="C484:I484"/>
    <mergeCell ref="D486:I486"/>
    <mergeCell ref="D487:I487"/>
    <mergeCell ref="D488:I488"/>
    <mergeCell ref="D477:I477"/>
    <mergeCell ref="D478:I478"/>
    <mergeCell ref="D479:I479"/>
    <mergeCell ref="D480:I480"/>
    <mergeCell ref="D481:I481"/>
    <mergeCell ref="D472:I472"/>
    <mergeCell ref="D473:I473"/>
    <mergeCell ref="D474:I474"/>
    <mergeCell ref="D475:I475"/>
    <mergeCell ref="D476:I476"/>
    <mergeCell ref="D465:I465"/>
    <mergeCell ref="D466:I466"/>
    <mergeCell ref="C468:I468"/>
    <mergeCell ref="D470:I470"/>
    <mergeCell ref="D471:I471"/>
    <mergeCell ref="D460:I460"/>
    <mergeCell ref="D461:I461"/>
    <mergeCell ref="D462:I462"/>
    <mergeCell ref="D463:I463"/>
    <mergeCell ref="D464:I464"/>
    <mergeCell ref="D453:I453"/>
    <mergeCell ref="D454:I454"/>
    <mergeCell ref="D455:I455"/>
    <mergeCell ref="C457:I457"/>
    <mergeCell ref="D459:I459"/>
    <mergeCell ref="C444:I444"/>
    <mergeCell ref="D446:I446"/>
    <mergeCell ref="C449:I449"/>
    <mergeCell ref="D451:I451"/>
    <mergeCell ref="D452:I452"/>
    <mergeCell ref="C437:I437"/>
    <mergeCell ref="D439:I439"/>
    <mergeCell ref="D440:I440"/>
    <mergeCell ref="D441:I441"/>
    <mergeCell ref="D442:I442"/>
    <mergeCell ref="D431:I431"/>
    <mergeCell ref="D432:I432"/>
    <mergeCell ref="D433:I433"/>
    <mergeCell ref="D434:I434"/>
    <mergeCell ref="D435:I435"/>
    <mergeCell ref="D421:I421"/>
    <mergeCell ref="C424:I424"/>
    <mergeCell ref="D426:I426"/>
    <mergeCell ref="C428:I428"/>
    <mergeCell ref="D430:I430"/>
    <mergeCell ref="C409:I409"/>
    <mergeCell ref="C413:I413"/>
    <mergeCell ref="C414:I414"/>
    <mergeCell ref="C415:I415"/>
    <mergeCell ref="A419:I419"/>
    <mergeCell ref="A398:I398"/>
    <mergeCell ref="D400:I400"/>
    <mergeCell ref="C402:I402"/>
    <mergeCell ref="D404:I404"/>
    <mergeCell ref="C407:I407"/>
    <mergeCell ref="C390:I390"/>
    <mergeCell ref="C391:I391"/>
    <mergeCell ref="C392:I392"/>
    <mergeCell ref="C393:I393"/>
    <mergeCell ref="C394:I394"/>
    <mergeCell ref="C385:I385"/>
    <mergeCell ref="C386:I386"/>
    <mergeCell ref="C387:I387"/>
    <mergeCell ref="C388:I388"/>
    <mergeCell ref="C389:I389"/>
    <mergeCell ref="C380:I380"/>
    <mergeCell ref="C381:I381"/>
    <mergeCell ref="C382:I382"/>
    <mergeCell ref="C383:I383"/>
    <mergeCell ref="C384:I384"/>
    <mergeCell ref="C375:I375"/>
    <mergeCell ref="C376:I376"/>
    <mergeCell ref="C377:I377"/>
    <mergeCell ref="C378:I378"/>
    <mergeCell ref="C379:I379"/>
    <mergeCell ref="C370:I370"/>
    <mergeCell ref="C371:I371"/>
    <mergeCell ref="C372:I372"/>
    <mergeCell ref="C373:I373"/>
    <mergeCell ref="C374:I374"/>
    <mergeCell ref="C361:I361"/>
    <mergeCell ref="D363:I363"/>
    <mergeCell ref="C364:I364"/>
    <mergeCell ref="C368:I368"/>
    <mergeCell ref="C369:I369"/>
    <mergeCell ref="D354:I354"/>
    <mergeCell ref="D355:I355"/>
    <mergeCell ref="D356:I356"/>
    <mergeCell ref="C358:I358"/>
    <mergeCell ref="D360:I360"/>
    <mergeCell ref="D349:I349"/>
    <mergeCell ref="D350:I350"/>
    <mergeCell ref="D351:I351"/>
    <mergeCell ref="D352:I352"/>
    <mergeCell ref="D353:I353"/>
    <mergeCell ref="D344:I344"/>
    <mergeCell ref="D345:I345"/>
    <mergeCell ref="D346:I346"/>
    <mergeCell ref="D347:I347"/>
    <mergeCell ref="D348:I348"/>
    <mergeCell ref="D339:I339"/>
    <mergeCell ref="D340:I340"/>
    <mergeCell ref="D341:I341"/>
    <mergeCell ref="D342:I342"/>
    <mergeCell ref="D343:I343"/>
    <mergeCell ref="D334:I334"/>
    <mergeCell ref="D335:I335"/>
    <mergeCell ref="D336:I336"/>
    <mergeCell ref="D337:I337"/>
    <mergeCell ref="D338:I338"/>
    <mergeCell ref="D329:I329"/>
    <mergeCell ref="D330:I330"/>
    <mergeCell ref="D331:I331"/>
    <mergeCell ref="D332:I332"/>
    <mergeCell ref="D333:I333"/>
    <mergeCell ref="D324:I324"/>
    <mergeCell ref="D325:I325"/>
    <mergeCell ref="D326:I326"/>
    <mergeCell ref="D327:I327"/>
    <mergeCell ref="D328:I328"/>
    <mergeCell ref="D319:I319"/>
    <mergeCell ref="D320:I320"/>
    <mergeCell ref="D321:I321"/>
    <mergeCell ref="D322:I322"/>
    <mergeCell ref="D323:I323"/>
    <mergeCell ref="D310:I310"/>
    <mergeCell ref="D311:I311"/>
    <mergeCell ref="C313:I313"/>
    <mergeCell ref="D315:I315"/>
    <mergeCell ref="C317:I317"/>
    <mergeCell ref="D303:I303"/>
    <mergeCell ref="D304:I304"/>
    <mergeCell ref="C306:I306"/>
    <mergeCell ref="D308:I308"/>
    <mergeCell ref="D309:I309"/>
    <mergeCell ref="D296:I296"/>
    <mergeCell ref="D297:I297"/>
    <mergeCell ref="C299:I299"/>
    <mergeCell ref="D301:I301"/>
    <mergeCell ref="D302:I302"/>
    <mergeCell ref="D291:I291"/>
    <mergeCell ref="D292:I292"/>
    <mergeCell ref="D293:I293"/>
    <mergeCell ref="D294:I294"/>
    <mergeCell ref="D295:I295"/>
    <mergeCell ref="D284:I284"/>
    <mergeCell ref="C286:I286"/>
    <mergeCell ref="D288:I288"/>
    <mergeCell ref="D289:I289"/>
    <mergeCell ref="D290:I290"/>
    <mergeCell ref="D277:I277"/>
    <mergeCell ref="D278:I278"/>
    <mergeCell ref="D279:I279"/>
    <mergeCell ref="D280:I280"/>
    <mergeCell ref="C282:I282"/>
    <mergeCell ref="D267:I267"/>
    <mergeCell ref="D268:I268"/>
    <mergeCell ref="C270:I270"/>
    <mergeCell ref="D272:I272"/>
    <mergeCell ref="C275:I275"/>
    <mergeCell ref="D260:I260"/>
    <mergeCell ref="D261:I261"/>
    <mergeCell ref="C263:I263"/>
    <mergeCell ref="D265:I265"/>
    <mergeCell ref="D266:I266"/>
    <mergeCell ref="D255:I255"/>
    <mergeCell ref="D256:I256"/>
    <mergeCell ref="D257:I257"/>
    <mergeCell ref="D258:I258"/>
    <mergeCell ref="D259:I259"/>
    <mergeCell ref="D250:I250"/>
    <mergeCell ref="D251:I251"/>
    <mergeCell ref="D252:I252"/>
    <mergeCell ref="D253:I253"/>
    <mergeCell ref="D254:I254"/>
    <mergeCell ref="C244:I244"/>
    <mergeCell ref="D246:I246"/>
    <mergeCell ref="D247:I247"/>
    <mergeCell ref="D248:I248"/>
    <mergeCell ref="D249:I249"/>
    <mergeCell ref="D238:I238"/>
    <mergeCell ref="D239:I239"/>
    <mergeCell ref="D240:I240"/>
    <mergeCell ref="D241:I241"/>
    <mergeCell ref="D242:I242"/>
    <mergeCell ref="D230:I230"/>
    <mergeCell ref="C233:I233"/>
    <mergeCell ref="D235:I235"/>
    <mergeCell ref="D236:I236"/>
    <mergeCell ref="D237:I237"/>
    <mergeCell ref="C219:I219"/>
    <mergeCell ref="D221:I221"/>
    <mergeCell ref="C223:I223"/>
    <mergeCell ref="D225:I225"/>
    <mergeCell ref="C228:I228"/>
    <mergeCell ref="C207:I207"/>
    <mergeCell ref="A211:I211"/>
    <mergeCell ref="D213:I213"/>
    <mergeCell ref="C215:I215"/>
    <mergeCell ref="D217:I217"/>
    <mergeCell ref="C202:I202"/>
    <mergeCell ref="C203:I203"/>
    <mergeCell ref="C204:I204"/>
    <mergeCell ref="C205:I205"/>
    <mergeCell ref="C206:I206"/>
    <mergeCell ref="C192:I192"/>
    <mergeCell ref="C196:I196"/>
    <mergeCell ref="C197:I197"/>
    <mergeCell ref="C198:I198"/>
    <mergeCell ref="C201:I201"/>
    <mergeCell ref="D179:I179"/>
    <mergeCell ref="C182:I182"/>
    <mergeCell ref="D184:I184"/>
    <mergeCell ref="C187:I187"/>
    <mergeCell ref="D189:I189"/>
    <mergeCell ref="D170:I170"/>
    <mergeCell ref="D171:I171"/>
    <mergeCell ref="C173:I173"/>
    <mergeCell ref="D175:I175"/>
    <mergeCell ref="C177:I177"/>
    <mergeCell ref="C161:I161"/>
    <mergeCell ref="D163:I163"/>
    <mergeCell ref="C166:I166"/>
    <mergeCell ref="D168:I168"/>
    <mergeCell ref="D169:I169"/>
    <mergeCell ref="D155:I155"/>
    <mergeCell ref="D156:I156"/>
    <mergeCell ref="D157:I157"/>
    <mergeCell ref="D158:I158"/>
    <mergeCell ref="D159:I159"/>
    <mergeCell ref="C146:I146"/>
    <mergeCell ref="C147:I147"/>
    <mergeCell ref="C148:I148"/>
    <mergeCell ref="C149:I149"/>
    <mergeCell ref="A153:I153"/>
    <mergeCell ref="D137:I137"/>
    <mergeCell ref="C138:I138"/>
    <mergeCell ref="D140:I140"/>
    <mergeCell ref="C141:I141"/>
    <mergeCell ref="C145:I145"/>
    <mergeCell ref="C129:I129"/>
    <mergeCell ref="D131:I131"/>
    <mergeCell ref="C132:I132"/>
    <mergeCell ref="D134:I134"/>
    <mergeCell ref="C135:I135"/>
    <mergeCell ref="D122:I122"/>
    <mergeCell ref="C123:I123"/>
    <mergeCell ref="D125:I125"/>
    <mergeCell ref="C126:I126"/>
    <mergeCell ref="D128:I128"/>
    <mergeCell ref="C114:I114"/>
    <mergeCell ref="D116:I116"/>
    <mergeCell ref="C117:I117"/>
    <mergeCell ref="D119:I119"/>
    <mergeCell ref="C120:I120"/>
    <mergeCell ref="D107:I107"/>
    <mergeCell ref="C108:I108"/>
    <mergeCell ref="D110:I110"/>
    <mergeCell ref="C111:I111"/>
    <mergeCell ref="D113:I113"/>
    <mergeCell ref="C99:I99"/>
    <mergeCell ref="D101:I101"/>
    <mergeCell ref="C102:I102"/>
    <mergeCell ref="D104:I104"/>
    <mergeCell ref="C105:I105"/>
    <mergeCell ref="D92:I92"/>
    <mergeCell ref="C93:I93"/>
    <mergeCell ref="D95:I95"/>
    <mergeCell ref="C96:I96"/>
    <mergeCell ref="D98:I98"/>
    <mergeCell ref="C84:I84"/>
    <mergeCell ref="D86:I86"/>
    <mergeCell ref="C87:I87"/>
    <mergeCell ref="D89:I89"/>
    <mergeCell ref="C90:I90"/>
    <mergeCell ref="D77:I77"/>
    <mergeCell ref="C78:I78"/>
    <mergeCell ref="D80:I80"/>
    <mergeCell ref="C81:I81"/>
    <mergeCell ref="D83:I83"/>
    <mergeCell ref="C69:I69"/>
    <mergeCell ref="D71:I71"/>
    <mergeCell ref="C72:I72"/>
    <mergeCell ref="D74:I74"/>
    <mergeCell ref="C75:I75"/>
    <mergeCell ref="D62:I62"/>
    <mergeCell ref="C63:I63"/>
    <mergeCell ref="D65:I65"/>
    <mergeCell ref="C66:I66"/>
    <mergeCell ref="D68:I68"/>
    <mergeCell ref="C53:I53"/>
    <mergeCell ref="C54:I54"/>
    <mergeCell ref="C55:I55"/>
    <mergeCell ref="C56:I56"/>
    <mergeCell ref="A60:I60"/>
    <mergeCell ref="C41:I41"/>
    <mergeCell ref="D43:I43"/>
    <mergeCell ref="C45:I45"/>
    <mergeCell ref="C49:I49"/>
    <mergeCell ref="C52:I52"/>
    <mergeCell ref="D30:I30"/>
    <mergeCell ref="C33:I33"/>
    <mergeCell ref="D35:I35"/>
    <mergeCell ref="C37:I37"/>
    <mergeCell ref="D39:I39"/>
    <mergeCell ref="A22:I22"/>
    <mergeCell ref="D24:I24"/>
    <mergeCell ref="D25:I25"/>
    <mergeCell ref="D26:I26"/>
    <mergeCell ref="C28:I28"/>
    <mergeCell ref="C11:I11"/>
    <mergeCell ref="D13:I13"/>
    <mergeCell ref="C14:I14"/>
    <mergeCell ref="D16:I16"/>
    <mergeCell ref="C17:I17"/>
    <mergeCell ref="A1:AD1"/>
    <mergeCell ref="A5:F5"/>
    <mergeCell ref="D7:I7"/>
    <mergeCell ref="D8:I8"/>
    <mergeCell ref="D9:I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69"/>
  <sheetViews>
    <sheetView workbookViewId="0"/>
  </sheetViews>
  <sheetFormatPr defaultRowHeight="15" x14ac:dyDescent="0.25"/>
  <cols>
    <col min="2" max="2" width="6" customWidth="1"/>
    <col min="3" max="3" width="59" customWidth="1"/>
    <col min="4" max="4" width="61" customWidth="1"/>
  </cols>
  <sheetData>
    <row r="1" spans="1:30" s="1" customFormat="1" ht="19.5" x14ac:dyDescent="0.3">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5" spans="1:30" ht="18.75" x14ac:dyDescent="0.25">
      <c r="B5" s="68" t="s">
        <v>2419</v>
      </c>
      <c r="C5" s="46"/>
      <c r="D5" s="4" t="s">
        <v>2420</v>
      </c>
    </row>
    <row r="6" spans="1:30" ht="21" x14ac:dyDescent="0.35">
      <c r="B6" s="9" t="s">
        <v>2421</v>
      </c>
      <c r="C6" s="7" t="s">
        <v>2422</v>
      </c>
      <c r="D6" s="12" t="s">
        <v>2423</v>
      </c>
      <c r="E6" s="6"/>
    </row>
    <row r="7" spans="1:30" ht="21" x14ac:dyDescent="0.35">
      <c r="B7" s="10" t="s">
        <v>2424</v>
      </c>
      <c r="C7" s="5" t="str">
        <f>HYPERLINK("#'Json-dokumentation'!A7", "SIRData")</f>
        <v>SIRData</v>
      </c>
      <c r="D7" s="13" t="s">
        <v>2425</v>
      </c>
      <c r="E7" s="6"/>
    </row>
    <row r="8" spans="1:30" ht="21" x14ac:dyDescent="0.35">
      <c r="B8" s="10" t="s">
        <v>2426</v>
      </c>
      <c r="C8" s="5" t="str">
        <f>HYPERLINK("#'Json-dokumentation'!J2413", "SIRData.Vårdtillfällen.OmvårdnadSmärta")</f>
        <v>SIRData.Vårdtillfällen.OmvårdnadSmärta</v>
      </c>
      <c r="D8" s="13" t="s">
        <v>2427</v>
      </c>
      <c r="E8" s="6"/>
    </row>
    <row r="9" spans="1:30" ht="90" x14ac:dyDescent="0.35">
      <c r="B9" s="10" t="s">
        <v>2428</v>
      </c>
      <c r="C9" s="5" t="str">
        <f>HYPERLINK("#'Json-dokumentation'!J2488", "SIRData.Vårdtillfällen.OmvårdnadSmärta.Regel: '27.01'")</f>
        <v>SIRData.Vårdtillfällen.OmvårdnadSmärta.Regel: '27.01'</v>
      </c>
      <c r="D9" s="13" t="s">
        <v>2429</v>
      </c>
      <c r="E9" s="6"/>
    </row>
    <row r="10" spans="1:30" ht="30" x14ac:dyDescent="0.35">
      <c r="B10" s="10" t="s">
        <v>2430</v>
      </c>
      <c r="C10" s="5" t="str">
        <f>HYPERLINK("#'Json-dokumentation'!J2412", "SIRData.Vårdtillfällen.OmvårdnadSmärta.Regel: '27.02'")</f>
        <v>SIRData.Vårdtillfällen.OmvårdnadSmärta.Regel: '27.02'</v>
      </c>
      <c r="D10" s="13" t="s">
        <v>2431</v>
      </c>
      <c r="E10" s="6"/>
    </row>
    <row r="11" spans="1:30" ht="90" x14ac:dyDescent="0.35">
      <c r="B11" s="10" t="s">
        <v>2432</v>
      </c>
      <c r="C11" s="5" t="str">
        <f>HYPERLINK("#'Json-dokumentation'!J2489", "SIRData.Vårdtillfällen.OmvårdnadSmärta.Regel: '27.03'")</f>
        <v>SIRData.Vårdtillfällen.OmvårdnadSmärta.Regel: '27.03'</v>
      </c>
      <c r="D11" s="13" t="s">
        <v>2433</v>
      </c>
      <c r="E11" s="6"/>
    </row>
    <row r="12" spans="1:30" ht="90" x14ac:dyDescent="0.35">
      <c r="B12" s="10" t="s">
        <v>2434</v>
      </c>
      <c r="C12" s="5" t="str">
        <f>HYPERLINK("#'Json-dokumentation'!J2490", "SIRData.Vårdtillfällen.OmvårdnadSmärta.Regel: '27.04'")</f>
        <v>SIRData.Vårdtillfällen.OmvårdnadSmärta.Regel: '27.04'</v>
      </c>
      <c r="D12" s="13" t="s">
        <v>2435</v>
      </c>
      <c r="E12" s="6"/>
    </row>
    <row r="13" spans="1:30" ht="90" x14ac:dyDescent="0.35">
      <c r="B13" s="10" t="s">
        <v>2436</v>
      </c>
      <c r="C13" s="5" t="str">
        <f>HYPERLINK("#'Json-dokumentation'!J2491", "SIRData.Vårdtillfällen.OmvårdnadSmärta.Regel: '27.05'")</f>
        <v>SIRData.Vårdtillfällen.OmvårdnadSmärta.Regel: '27.05'</v>
      </c>
      <c r="D13" s="13" t="s">
        <v>2437</v>
      </c>
      <c r="E13" s="6"/>
    </row>
    <row r="14" spans="1:30" ht="90" x14ac:dyDescent="0.35">
      <c r="B14" s="10" t="s">
        <v>2438</v>
      </c>
      <c r="C14" s="5" t="str">
        <f>HYPERLINK("#'Json-dokumentation'!J2492", "SIRData.Vårdtillfällen.OmvårdnadSmärta.Regel: '27.06'")</f>
        <v>SIRData.Vårdtillfällen.OmvårdnadSmärta.Regel: '27.06'</v>
      </c>
      <c r="D14" s="13" t="s">
        <v>2439</v>
      </c>
      <c r="E14" s="6"/>
    </row>
    <row r="15" spans="1:30" ht="90" x14ac:dyDescent="0.35">
      <c r="B15" s="10" t="s">
        <v>2440</v>
      </c>
      <c r="C15" s="5" t="str">
        <f>HYPERLINK("#'Json-dokumentation'!J2493", "SIRData.Vårdtillfällen.OmvårdnadSmärta.Regel: '27.07'")</f>
        <v>SIRData.Vårdtillfällen.OmvårdnadSmärta.Regel: '27.07'</v>
      </c>
      <c r="D15" s="13" t="s">
        <v>2441</v>
      </c>
      <c r="E15" s="6"/>
    </row>
    <row r="16" spans="1:30" ht="75" x14ac:dyDescent="0.35">
      <c r="B16" s="10" t="s">
        <v>2442</v>
      </c>
      <c r="C16" s="5" t="str">
        <f>HYPERLINK("#'Json-dokumentation'!J2494", "SIRData.Vårdtillfällen.OmvårdnadSmärta.Regel: '27.08'")</f>
        <v>SIRData.Vårdtillfällen.OmvårdnadSmärta.Regel: '27.08'</v>
      </c>
      <c r="D16" s="13" t="s">
        <v>2443</v>
      </c>
      <c r="E16" s="6"/>
    </row>
    <row r="17" spans="2:5" ht="90" x14ac:dyDescent="0.35">
      <c r="B17" s="10" t="s">
        <v>2444</v>
      </c>
      <c r="C17" s="5" t="str">
        <f>HYPERLINK("#'Json-dokumentation'!J2496", "SIRData.Vårdtillfällen.OmvårdnadSmärta.Regel: '27.10'")</f>
        <v>SIRData.Vårdtillfällen.OmvårdnadSmärta.Regel: '27.10'</v>
      </c>
      <c r="D17" s="13" t="s">
        <v>2445</v>
      </c>
      <c r="E17" s="6"/>
    </row>
    <row r="18" spans="2:5" ht="90" x14ac:dyDescent="0.35">
      <c r="B18" s="10" t="s">
        <v>2446</v>
      </c>
      <c r="C18" s="5" t="str">
        <f>HYPERLINK("#'Json-dokumentation'!J2497", "SIRData.Vårdtillfällen.OmvårdnadSmärta.Regel: '27.11'")</f>
        <v>SIRData.Vårdtillfällen.OmvårdnadSmärta.Regel: '27.11'</v>
      </c>
      <c r="D18" s="13" t="s">
        <v>2447</v>
      </c>
      <c r="E18" s="6"/>
    </row>
    <row r="19" spans="2:5" ht="90" x14ac:dyDescent="0.35">
      <c r="B19" s="10" t="s">
        <v>2448</v>
      </c>
      <c r="C19" s="5" t="str">
        <f>HYPERLINK("#'Json-dokumentation'!J2498", "SIRData.Vårdtillfällen.OmvårdnadSmärta.Regel: '27.12'")</f>
        <v>SIRData.Vårdtillfällen.OmvårdnadSmärta.Regel: '27.12'</v>
      </c>
      <c r="D19" s="13" t="s">
        <v>2449</v>
      </c>
      <c r="E19" s="6"/>
    </row>
    <row r="20" spans="2:5" ht="90" x14ac:dyDescent="0.35">
      <c r="B20" s="10" t="s">
        <v>2450</v>
      </c>
      <c r="C20" s="5" t="str">
        <f>HYPERLINK("#'Json-dokumentation'!J2499", "SIRData.Vårdtillfällen.OmvårdnadSmärta.Regel: '27.13'")</f>
        <v>SIRData.Vårdtillfällen.OmvårdnadSmärta.Regel: '27.13'</v>
      </c>
      <c r="D20" s="13" t="s">
        <v>2451</v>
      </c>
      <c r="E20" s="6"/>
    </row>
    <row r="21" spans="2:5" ht="90" x14ac:dyDescent="0.35">
      <c r="B21" s="10" t="s">
        <v>2452</v>
      </c>
      <c r="C21" s="5" t="str">
        <f>HYPERLINK("#'Json-dokumentation'!J2500", "SIRData.Vårdtillfällen.OmvårdnadSmärta.Regel: '27.14'")</f>
        <v>SIRData.Vårdtillfällen.OmvårdnadSmärta.Regel: '27.14'</v>
      </c>
      <c r="D21" s="13" t="s">
        <v>2453</v>
      </c>
      <c r="E21" s="6"/>
    </row>
    <row r="22" spans="2:5" ht="105" x14ac:dyDescent="0.35">
      <c r="B22" s="10" t="s">
        <v>2454</v>
      </c>
      <c r="C22" s="5" t="str">
        <f>HYPERLINK("#'Json-dokumentation'!J2501", "SIRData.Vårdtillfällen.OmvårdnadSmärta.Regel: '27.15'")</f>
        <v>SIRData.Vårdtillfällen.OmvårdnadSmärta.Regel: '27.15'</v>
      </c>
      <c r="D22" s="13" t="s">
        <v>2455</v>
      </c>
      <c r="E22" s="6"/>
    </row>
    <row r="23" spans="2:5" ht="105" x14ac:dyDescent="0.35">
      <c r="B23" s="10" t="s">
        <v>2456</v>
      </c>
      <c r="C23" s="5" t="str">
        <f>HYPERLINK("#'Json-dokumentation'!J2502", "SIRData.Vårdtillfällen.OmvårdnadSmärta.Regel: '27.16'")</f>
        <v>SIRData.Vårdtillfällen.OmvårdnadSmärta.Regel: '27.16'</v>
      </c>
      <c r="D23" s="13" t="s">
        <v>2457</v>
      </c>
      <c r="E23" s="6"/>
    </row>
    <row r="24" spans="2:5" ht="105" x14ac:dyDescent="0.35">
      <c r="B24" s="10" t="s">
        <v>2458</v>
      </c>
      <c r="C24" s="5" t="str">
        <f>HYPERLINK("#'Json-dokumentation'!J2503", "SIRData.Vårdtillfällen.OmvårdnadSmärta.Regel: '27.17'")</f>
        <v>SIRData.Vårdtillfällen.OmvårdnadSmärta.Regel: '27.17'</v>
      </c>
      <c r="D24" s="13" t="s">
        <v>2459</v>
      </c>
      <c r="E24" s="6"/>
    </row>
    <row r="25" spans="2:5" ht="75" x14ac:dyDescent="0.35">
      <c r="B25" s="10" t="s">
        <v>2460</v>
      </c>
      <c r="C25" s="5" t="str">
        <f>HYPERLINK("#'Json-dokumentation'!J2504", "SIRData.Vårdtillfällen.OmvårdnadSmärta.Regel: '27.18'")</f>
        <v>SIRData.Vårdtillfällen.OmvårdnadSmärta.Regel: '27.18'</v>
      </c>
      <c r="D25" s="13" t="s">
        <v>2461</v>
      </c>
      <c r="E25" s="6"/>
    </row>
    <row r="26" spans="2:5" ht="21" x14ac:dyDescent="0.35">
      <c r="B26" s="10" t="s">
        <v>2462</v>
      </c>
      <c r="C26" s="5" t="str">
        <f>HYPERLINK("#'Json-dokumentation'!J2412", "SIRData.Vårdtillfällen.OmvårdnadSmärta.Regel: '27.09'")</f>
        <v>SIRData.Vårdtillfällen.OmvårdnadSmärta.Regel: '27.09'</v>
      </c>
      <c r="D26" s="13" t="s">
        <v>2463</v>
      </c>
      <c r="E26" s="6"/>
    </row>
    <row r="27" spans="2:5" ht="21" x14ac:dyDescent="0.35">
      <c r="B27" s="10" t="s">
        <v>2464</v>
      </c>
      <c r="C27" s="5" t="str">
        <f>HYPERLINK("#'Json-dokumentation'!J2412", "SIRData.Vårdtillfällen.OmvårdnadSmärta.Regel: '27.19'")</f>
        <v>SIRData.Vårdtillfällen.OmvårdnadSmärta.Regel: '27.19'</v>
      </c>
      <c r="D27" s="13" t="s">
        <v>2465</v>
      </c>
      <c r="E27" s="6"/>
    </row>
    <row r="28" spans="2:5" ht="21" x14ac:dyDescent="0.35">
      <c r="B28" s="10" t="s">
        <v>2466</v>
      </c>
      <c r="C28" s="5" t="str">
        <f>HYPERLINK("#'Json-dokumentation'!J2412", "SIRData.Vårdtillfällen.OmvårdnadSmärta.Regel: '27.20'")</f>
        <v>SIRData.Vårdtillfällen.OmvårdnadSmärta.Regel: '27.20'</v>
      </c>
      <c r="D28" s="13" t="s">
        <v>2467</v>
      </c>
      <c r="E28" s="6"/>
    </row>
    <row r="29" spans="2:5" ht="21" x14ac:dyDescent="0.35">
      <c r="B29" s="10" t="s">
        <v>2468</v>
      </c>
      <c r="C29" s="5" t="str">
        <f>HYPERLINK("#'Json-dokumentation'!J2412", "SIRData.Vårdtillfällen.OmvårdnadSmärta.Regel: '27.21'")</f>
        <v>SIRData.Vårdtillfällen.OmvårdnadSmärta.Regel: '27.21'</v>
      </c>
      <c r="D29" s="13" t="s">
        <v>2469</v>
      </c>
      <c r="E29" s="6"/>
    </row>
    <row r="30" spans="2:5" ht="21" x14ac:dyDescent="0.35">
      <c r="B30" s="10" t="s">
        <v>2470</v>
      </c>
      <c r="C30" s="5" t="str">
        <f>HYPERLINK("#'Json-dokumentation'!J2412", "SIRData.Vårdtillfällen.OmvårdnadSmärta.Regel: '27.22'")</f>
        <v>SIRData.Vårdtillfällen.OmvårdnadSmärta.Regel: '27.22'</v>
      </c>
      <c r="D30" s="13" t="s">
        <v>2471</v>
      </c>
      <c r="E30" s="6"/>
    </row>
    <row r="31" spans="2:5" ht="21" x14ac:dyDescent="0.35">
      <c r="B31" s="10" t="s">
        <v>2472</v>
      </c>
      <c r="C31" s="5" t="str">
        <f>HYPERLINK("#'Json-dokumentation'!J2412", "SIRData.Vårdtillfällen.OmvårdnadSmärta.Regel: '27.23'")</f>
        <v>SIRData.Vårdtillfällen.OmvårdnadSmärta.Regel: '27.23'</v>
      </c>
      <c r="D31" s="13" t="s">
        <v>2473</v>
      </c>
      <c r="E31" s="6"/>
    </row>
    <row r="32" spans="2:5" ht="21" x14ac:dyDescent="0.35">
      <c r="B32" s="10" t="s">
        <v>2474</v>
      </c>
      <c r="C32" s="5" t="str">
        <f>HYPERLINK("#'Json-dokumentation'!J2412", "SIRData.Vårdtillfällen.OmvårdnadSmärta.Regel: '27.24'")</f>
        <v>SIRData.Vårdtillfällen.OmvårdnadSmärta.Regel: '27.24'</v>
      </c>
      <c r="D32" s="13" t="s">
        <v>2475</v>
      </c>
      <c r="E32" s="6"/>
    </row>
    <row r="33" spans="2:5" ht="21" x14ac:dyDescent="0.35">
      <c r="B33" s="10" t="s">
        <v>2476</v>
      </c>
      <c r="C33" s="5" t="str">
        <f>HYPERLINK("#'Json-dokumentation'!J2412", "SIRData.Vårdtillfällen.OmvårdnadSmärta.Regel: '27.25'")</f>
        <v>SIRData.Vårdtillfällen.OmvårdnadSmärta.Regel: '27.25'</v>
      </c>
      <c r="D33" s="13" t="s">
        <v>2477</v>
      </c>
      <c r="E33" s="6"/>
    </row>
    <row r="34" spans="2:5" ht="21" x14ac:dyDescent="0.35">
      <c r="B34" s="10" t="s">
        <v>2478</v>
      </c>
      <c r="C34" s="5" t="str">
        <f>HYPERLINK("#'Json-dokumentation'!J2412", "SIRData.Vårdtillfällen.OmvårdnadSmärta.Regel: '27.26'")</f>
        <v>SIRData.Vårdtillfällen.OmvårdnadSmärta.Regel: '27.26'</v>
      </c>
      <c r="D34" s="13" t="s">
        <v>2479</v>
      </c>
      <c r="E34" s="6"/>
    </row>
    <row r="35" spans="2:5" ht="21" x14ac:dyDescent="0.35">
      <c r="B35" s="10" t="s">
        <v>2480</v>
      </c>
      <c r="C35" s="5" t="str">
        <f>HYPERLINK("#'Json-dokumentation'!J2412", "SIRData.Vårdtillfällen.OmvårdnadSmärta.Regel: '27.27'")</f>
        <v>SIRData.Vårdtillfällen.OmvårdnadSmärta.Regel: '27.27'</v>
      </c>
      <c r="D35" s="13" t="s">
        <v>2481</v>
      </c>
      <c r="E35" s="6"/>
    </row>
    <row r="36" spans="2:5" ht="21" x14ac:dyDescent="0.35">
      <c r="B36" s="10" t="s">
        <v>2482</v>
      </c>
      <c r="C36" s="5" t="str">
        <f>HYPERLINK("#'Json-dokumentation'!J2412", "SIRData.Vårdtillfällen.OmvårdnadSmärta.Regel: '27.28'")</f>
        <v>SIRData.Vårdtillfällen.OmvårdnadSmärta.Regel: '27.28'</v>
      </c>
      <c r="D36" s="13" t="s">
        <v>2483</v>
      </c>
      <c r="E36" s="6"/>
    </row>
    <row r="37" spans="2:5" ht="21" x14ac:dyDescent="0.35">
      <c r="B37" s="10" t="s">
        <v>2484</v>
      </c>
      <c r="C37" s="5" t="str">
        <f>HYPERLINK("#'Json-dokumentation'!J2550", "SIRData.Vårdtillfällen.OmvårdnadSedering")</f>
        <v>SIRData.Vårdtillfällen.OmvårdnadSedering</v>
      </c>
      <c r="D37" s="13" t="s">
        <v>2427</v>
      </c>
      <c r="E37" s="6"/>
    </row>
    <row r="38" spans="2:5" ht="90" x14ac:dyDescent="0.35">
      <c r="B38" s="10" t="s">
        <v>2485</v>
      </c>
      <c r="C38" s="5" t="str">
        <f>HYPERLINK("#'Json-dokumentation'!J2622", "SIRData.Vårdtillfällen.OmvårdnadSedering.Regel: '28.01'")</f>
        <v>SIRData.Vårdtillfällen.OmvårdnadSedering.Regel: '28.01'</v>
      </c>
      <c r="D38" s="13" t="s">
        <v>2486</v>
      </c>
      <c r="E38" s="6"/>
    </row>
    <row r="39" spans="2:5" ht="90" x14ac:dyDescent="0.35">
      <c r="B39" s="10" t="s">
        <v>2487</v>
      </c>
      <c r="C39" s="5" t="str">
        <f>HYPERLINK("#'Json-dokumentation'!J2623", "SIRData.Vårdtillfällen.OmvårdnadSedering.Regel: '28.02'")</f>
        <v>SIRData.Vårdtillfällen.OmvårdnadSedering.Regel: '28.02'</v>
      </c>
      <c r="D39" s="13" t="s">
        <v>2488</v>
      </c>
      <c r="E39" s="6"/>
    </row>
    <row r="40" spans="2:5" ht="45" x14ac:dyDescent="0.35">
      <c r="B40" s="10" t="s">
        <v>2489</v>
      </c>
      <c r="C40" s="5" t="str">
        <f>HYPERLINK("#'Json-dokumentation'!J2519", "SIRData.Vårdtillfällen.OmvårdnadSedering.Regel: '28.03'")</f>
        <v>SIRData.Vårdtillfällen.OmvårdnadSedering.Regel: '28.03'</v>
      </c>
      <c r="D40" s="13" t="s">
        <v>2490</v>
      </c>
      <c r="E40" s="6"/>
    </row>
    <row r="41" spans="2:5" ht="105" x14ac:dyDescent="0.35">
      <c r="B41" s="10" t="s">
        <v>2491</v>
      </c>
      <c r="C41" s="5" t="str">
        <f>HYPERLINK("#'Json-dokumentation'!J2625", "SIRData.Vårdtillfällen.OmvårdnadSedering.Regel: '28.05'")</f>
        <v>SIRData.Vårdtillfällen.OmvårdnadSedering.Regel: '28.05'</v>
      </c>
      <c r="D41" s="13" t="s">
        <v>2492</v>
      </c>
      <c r="E41" s="6"/>
    </row>
    <row r="42" spans="2:5" ht="45" x14ac:dyDescent="0.35">
      <c r="B42" s="10" t="s">
        <v>2493</v>
      </c>
      <c r="C42" s="5" t="str">
        <f>HYPERLINK("#'Json-dokumentation'!J2519", "SIRData.Vårdtillfällen.OmvårdnadSedering.Regel: '28.06'")</f>
        <v>SIRData.Vårdtillfällen.OmvårdnadSedering.Regel: '28.06'</v>
      </c>
      <c r="D42" s="13" t="s">
        <v>2494</v>
      </c>
      <c r="E42" s="6"/>
    </row>
    <row r="43" spans="2:5" ht="90" x14ac:dyDescent="0.35">
      <c r="B43" s="10" t="s">
        <v>2495</v>
      </c>
      <c r="C43" s="5" t="str">
        <f>HYPERLINK("#'Json-dokumentation'!J2626", "SIRData.Vårdtillfällen.OmvårdnadSedering.Regel: '28.07'")</f>
        <v>SIRData.Vårdtillfällen.OmvårdnadSedering.Regel: '28.07'</v>
      </c>
      <c r="D43" s="13" t="s">
        <v>2496</v>
      </c>
      <c r="E43" s="6"/>
    </row>
    <row r="44" spans="2:5" ht="90" x14ac:dyDescent="0.35">
      <c r="B44" s="10" t="s">
        <v>2497</v>
      </c>
      <c r="C44" s="5" t="str">
        <f>HYPERLINK("#'Json-dokumentation'!J2627", "SIRData.Vårdtillfällen.OmvårdnadSedering.Regel: '28.08'")</f>
        <v>SIRData.Vårdtillfällen.OmvårdnadSedering.Regel: '28.08'</v>
      </c>
      <c r="D44" s="13" t="s">
        <v>2498</v>
      </c>
      <c r="E44" s="6"/>
    </row>
    <row r="45" spans="2:5" ht="90" x14ac:dyDescent="0.35">
      <c r="B45" s="10" t="s">
        <v>2499</v>
      </c>
      <c r="C45" s="5" t="str">
        <f>HYPERLINK("#'Json-dokumentation'!J2628", "SIRData.Vårdtillfällen.OmvårdnadSedering.Regel: '28.09'")</f>
        <v>SIRData.Vårdtillfällen.OmvårdnadSedering.Regel: '28.09'</v>
      </c>
      <c r="D45" s="13" t="s">
        <v>2500</v>
      </c>
      <c r="E45" s="6"/>
    </row>
    <row r="46" spans="2:5" ht="105" x14ac:dyDescent="0.35">
      <c r="B46" s="10" t="s">
        <v>2501</v>
      </c>
      <c r="C46" s="5" t="str">
        <f>HYPERLINK("#'Json-dokumentation'!J2629", "SIRData.Vårdtillfällen.OmvårdnadSedering.Regel: '28.10'")</f>
        <v>SIRData.Vårdtillfällen.OmvårdnadSedering.Regel: '28.10'</v>
      </c>
      <c r="D46" s="13" t="s">
        <v>2502</v>
      </c>
      <c r="E46" s="6"/>
    </row>
    <row r="47" spans="2:5" ht="75" x14ac:dyDescent="0.35">
      <c r="B47" s="10" t="s">
        <v>2503</v>
      </c>
      <c r="C47" s="5" t="str">
        <f>HYPERLINK("#'Json-dokumentation'!J2630", "SIRData.Vårdtillfällen.OmvårdnadSedering.Regel: '28.11'")</f>
        <v>SIRData.Vårdtillfällen.OmvårdnadSedering.Regel: '28.11'</v>
      </c>
      <c r="D47" s="13" t="s">
        <v>2504</v>
      </c>
      <c r="E47" s="6"/>
    </row>
    <row r="48" spans="2:5" ht="21" x14ac:dyDescent="0.35">
      <c r="B48" s="10" t="s">
        <v>2505</v>
      </c>
      <c r="C48" s="5" t="str">
        <f>HYPERLINK("#'Json-dokumentation'!J2519", "SIRData.Vårdtillfällen.OmvårdnadSedering.Regel: '27.02'")</f>
        <v>SIRData.Vårdtillfällen.OmvårdnadSedering.Regel: '27.02'</v>
      </c>
      <c r="D48" s="13" t="s">
        <v>2506</v>
      </c>
      <c r="E48" s="6"/>
    </row>
    <row r="49" spans="2:5" ht="21" x14ac:dyDescent="0.35">
      <c r="B49" s="10" t="s">
        <v>2507</v>
      </c>
      <c r="C49" s="5" t="str">
        <f>HYPERLINK("#'Json-dokumentation'!J2519", "SIRData.Vårdtillfällen.OmvårdnadSedering.Regel: '28.12'")</f>
        <v>SIRData.Vårdtillfällen.OmvårdnadSedering.Regel: '28.12'</v>
      </c>
      <c r="D49" s="13" t="s">
        <v>2508</v>
      </c>
      <c r="E49" s="6"/>
    </row>
    <row r="50" spans="2:5" ht="21" x14ac:dyDescent="0.35">
      <c r="B50" s="10" t="s">
        <v>2509</v>
      </c>
      <c r="C50" s="5" t="str">
        <f>HYPERLINK("#'Json-dokumentation'!J2519", "SIRData.Vårdtillfällen.OmvårdnadSedering.Regel: '28.13'")</f>
        <v>SIRData.Vårdtillfällen.OmvårdnadSedering.Regel: '28.13'</v>
      </c>
      <c r="D50" s="13" t="s">
        <v>2510</v>
      </c>
      <c r="E50" s="6"/>
    </row>
    <row r="51" spans="2:5" ht="21" x14ac:dyDescent="0.35">
      <c r="B51" s="10" t="s">
        <v>2511</v>
      </c>
      <c r="C51" s="5" t="str">
        <f>HYPERLINK("#'Json-dokumentation'!J2519", "SIRData.Vårdtillfällen.OmvårdnadSedering.Regel: '28.14'")</f>
        <v>SIRData.Vårdtillfällen.OmvårdnadSedering.Regel: '28.14'</v>
      </c>
      <c r="D51" s="13" t="s">
        <v>2512</v>
      </c>
      <c r="E51" s="6"/>
    </row>
    <row r="52" spans="2:5" ht="21" x14ac:dyDescent="0.35">
      <c r="B52" s="10" t="s">
        <v>2513</v>
      </c>
      <c r="C52" s="5" t="str">
        <f>HYPERLINK("#'Json-dokumentation'!J2519", "SIRData.Vårdtillfällen.OmvårdnadSedering.Regel: '28.15'")</f>
        <v>SIRData.Vårdtillfällen.OmvårdnadSedering.Regel: '28.15'</v>
      </c>
      <c r="D52" s="13" t="s">
        <v>2514</v>
      </c>
      <c r="E52" s="6"/>
    </row>
    <row r="53" spans="2:5" ht="21" x14ac:dyDescent="0.35">
      <c r="B53" s="10" t="s">
        <v>2515</v>
      </c>
      <c r="C53" s="5" t="str">
        <f>HYPERLINK("#'Json-dokumentation'!J2519", "SIRData.Vårdtillfällen.OmvårdnadSedering.Regel: '28.16'")</f>
        <v>SIRData.Vårdtillfällen.OmvårdnadSedering.Regel: '28.16'</v>
      </c>
      <c r="D53" s="13" t="s">
        <v>2516</v>
      </c>
      <c r="E53" s="6"/>
    </row>
    <row r="54" spans="2:5" ht="21" x14ac:dyDescent="0.35">
      <c r="B54" s="10" t="s">
        <v>2517</v>
      </c>
      <c r="C54" s="5" t="str">
        <f>HYPERLINK("#'Json-dokumentation'!J2519", "SIRData.Vårdtillfällen.OmvårdnadSedering.Regel: '28.17'")</f>
        <v>SIRData.Vårdtillfällen.OmvårdnadSedering.Regel: '28.17'</v>
      </c>
      <c r="D54" s="13" t="s">
        <v>2518</v>
      </c>
      <c r="E54" s="6"/>
    </row>
    <row r="55" spans="2:5" ht="21" x14ac:dyDescent="0.35">
      <c r="B55" s="10" t="s">
        <v>2519</v>
      </c>
      <c r="C55" s="5" t="str">
        <f>HYPERLINK("#'Json-dokumentation'!J2519", "SIRData.Vårdtillfällen.OmvårdnadSedering.Regel: '28.18'")</f>
        <v>SIRData.Vårdtillfällen.OmvårdnadSedering.Regel: '28.18'</v>
      </c>
      <c r="D55" s="13" t="s">
        <v>2520</v>
      </c>
      <c r="E55" s="6"/>
    </row>
    <row r="56" spans="2:5" ht="21" x14ac:dyDescent="0.35">
      <c r="B56" s="10" t="s">
        <v>2521</v>
      </c>
      <c r="C56" s="5" t="str">
        <f>HYPERLINK("#'Json-dokumentation'!J2519", "SIRData.Vårdtillfällen.OmvårdnadSedering.Regel: '28.19'")</f>
        <v>SIRData.Vårdtillfällen.OmvårdnadSedering.Regel: '28.19'</v>
      </c>
      <c r="D56" s="13" t="s">
        <v>2522</v>
      </c>
      <c r="E56" s="6"/>
    </row>
    <row r="57" spans="2:5" ht="21" x14ac:dyDescent="0.35">
      <c r="B57" s="10" t="s">
        <v>2523</v>
      </c>
      <c r="C57" s="5" t="str">
        <f>HYPERLINK("#'Json-dokumentation'!J2519", "SIRData.Vårdtillfällen.OmvårdnadSedering.Regel: '28.20'")</f>
        <v>SIRData.Vårdtillfällen.OmvårdnadSedering.Regel: '28.20'</v>
      </c>
      <c r="D57" s="13" t="s">
        <v>2524</v>
      </c>
      <c r="E57" s="6"/>
    </row>
    <row r="58" spans="2:5" ht="21" x14ac:dyDescent="0.35">
      <c r="B58" s="10" t="s">
        <v>2525</v>
      </c>
      <c r="C58" s="5" t="str">
        <f>HYPERLINK("#'Json-dokumentation'!J2519", "SIRData.Vårdtillfällen.OmvårdnadSedering.Regel: '28.21'")</f>
        <v>SIRData.Vårdtillfällen.OmvårdnadSedering.Regel: '28.21'</v>
      </c>
      <c r="D58" s="13" t="s">
        <v>2526</v>
      </c>
      <c r="E58" s="6"/>
    </row>
    <row r="59" spans="2:5" ht="21" x14ac:dyDescent="0.35">
      <c r="B59" s="10" t="s">
        <v>2527</v>
      </c>
      <c r="C59" s="5" t="str">
        <f>HYPERLINK("#'Json-dokumentation'!J2519", "SIRData.Vårdtillfällen.OmvårdnadSedering.Regel: '28.22'")</f>
        <v>SIRData.Vårdtillfällen.OmvårdnadSedering.Regel: '28.22'</v>
      </c>
      <c r="D59" s="13" t="s">
        <v>2528</v>
      </c>
      <c r="E59" s="6"/>
    </row>
    <row r="60" spans="2:5" ht="21" x14ac:dyDescent="0.35">
      <c r="B60" s="10" t="s">
        <v>2529</v>
      </c>
      <c r="C60" s="5" t="str">
        <f>HYPERLINK("#'Json-dokumentation'!J2519", "SIRData.Vårdtillfällen.OmvårdnadSedering.Regel: '28.23'")</f>
        <v>SIRData.Vårdtillfällen.OmvårdnadSedering.Regel: '28.23'</v>
      </c>
      <c r="D60" s="13" t="s">
        <v>2530</v>
      </c>
      <c r="E60" s="6"/>
    </row>
    <row r="61" spans="2:5" ht="21" x14ac:dyDescent="0.35">
      <c r="B61" s="10" t="s">
        <v>2531</v>
      </c>
      <c r="C61" s="5" t="str">
        <f>HYPERLINK("#'Json-dokumentation'!J2519", "SIRData.Vårdtillfällen.OmvårdnadSedering.Regel: '28.24'")</f>
        <v>SIRData.Vårdtillfällen.OmvårdnadSedering.Regel: '28.24'</v>
      </c>
      <c r="D61" s="13" t="s">
        <v>2532</v>
      </c>
      <c r="E61" s="6"/>
    </row>
    <row r="62" spans="2:5" ht="21" x14ac:dyDescent="0.35">
      <c r="B62" s="10" t="s">
        <v>2533</v>
      </c>
      <c r="C62" s="5" t="str">
        <f>HYPERLINK("#'Json-dokumentation'!J2519", "SIRData.Vårdtillfällen.OmvårdnadSedering.Regel: '28.25'")</f>
        <v>SIRData.Vårdtillfällen.OmvårdnadSedering.Regel: '28.25'</v>
      </c>
      <c r="D62" s="13" t="s">
        <v>2534</v>
      </c>
      <c r="E62" s="6"/>
    </row>
    <row r="63" spans="2:5" ht="21" x14ac:dyDescent="0.35">
      <c r="B63" s="10" t="s">
        <v>2535</v>
      </c>
      <c r="C63" s="5" t="str">
        <f>HYPERLINK("#'Json-dokumentation'!J2519", "SIRData.Vårdtillfällen.OmvårdnadSedering.Regel: '28.26'")</f>
        <v>SIRData.Vårdtillfällen.OmvårdnadSedering.Regel: '28.26'</v>
      </c>
      <c r="D63" s="13" t="s">
        <v>2536</v>
      </c>
      <c r="E63" s="6"/>
    </row>
    <row r="64" spans="2:5" ht="21" x14ac:dyDescent="0.35">
      <c r="B64" s="10" t="s">
        <v>2537</v>
      </c>
      <c r="C64" s="5" t="str">
        <f>HYPERLINK("#'Json-dokumentation'!J2519", "SIRData.Vårdtillfällen.OmvårdnadSedering.Regel: '28.27'")</f>
        <v>SIRData.Vårdtillfällen.OmvårdnadSedering.Regel: '28.27'</v>
      </c>
      <c r="D64" s="13" t="s">
        <v>2538</v>
      </c>
      <c r="E64" s="6"/>
    </row>
    <row r="65" spans="2:5" ht="21" x14ac:dyDescent="0.35">
      <c r="B65" s="10" t="s">
        <v>2539</v>
      </c>
      <c r="C65" s="5" t="str">
        <f>HYPERLINK("#'Json-dokumentation'!J2519", "SIRData.Vårdtillfällen.OmvårdnadSedering.Regel: '28.28'")</f>
        <v>SIRData.Vårdtillfällen.OmvårdnadSedering.Regel: '28.28'</v>
      </c>
      <c r="D65" s="13" t="s">
        <v>2540</v>
      </c>
      <c r="E65" s="6"/>
    </row>
    <row r="66" spans="2:5" ht="21" x14ac:dyDescent="0.35">
      <c r="B66" s="10" t="s">
        <v>2541</v>
      </c>
      <c r="C66" s="5" t="str">
        <f>HYPERLINK("#'Json-dokumentation'!J2519", "SIRData.Vårdtillfällen.OmvårdnadSedering.Regel: '28.29'")</f>
        <v>SIRData.Vårdtillfällen.OmvårdnadSedering.Regel: '28.29'</v>
      </c>
      <c r="D66" s="13" t="s">
        <v>2542</v>
      </c>
      <c r="E66" s="6"/>
    </row>
    <row r="67" spans="2:5" ht="21" x14ac:dyDescent="0.35">
      <c r="B67" s="10" t="s">
        <v>2543</v>
      </c>
      <c r="C67" s="5" t="str">
        <f>HYPERLINK("#'Json-dokumentation'!J2519", "SIRData.Vårdtillfällen.OmvårdnadSedering.Regel: '29.01'")</f>
        <v>SIRData.Vårdtillfällen.OmvårdnadSedering.Regel: '29.01'</v>
      </c>
      <c r="D67" s="13" t="s">
        <v>2544</v>
      </c>
      <c r="E67" s="6"/>
    </row>
    <row r="68" spans="2:5" ht="21" x14ac:dyDescent="0.35">
      <c r="B68" s="10" t="s">
        <v>2545</v>
      </c>
      <c r="C68" s="5" t="str">
        <f>HYPERLINK("#'Json-dokumentation'!J2519", "SIRData.Vårdtillfällen.OmvårdnadSedering.Regel: '29.02'")</f>
        <v>SIRData.Vårdtillfällen.OmvårdnadSedering.Regel: '29.02'</v>
      </c>
      <c r="D68" s="13" t="s">
        <v>2546</v>
      </c>
      <c r="E68" s="6"/>
    </row>
    <row r="69" spans="2:5" ht="21" x14ac:dyDescent="0.35">
      <c r="B69" s="10" t="s">
        <v>2547</v>
      </c>
      <c r="C69" s="5" t="str">
        <f>HYPERLINK("#'Json-dokumentation'!J3237", "SIRData.Vårdtillfällen.OmvårdnadDelirium.NuDesc")</f>
        <v>SIRData.Vårdtillfällen.OmvårdnadDelirium.NuDesc</v>
      </c>
      <c r="D69" s="13" t="s">
        <v>2548</v>
      </c>
      <c r="E69" s="6"/>
    </row>
    <row r="70" spans="2:5" ht="21" x14ac:dyDescent="0.35">
      <c r="B70" s="10" t="s">
        <v>2549</v>
      </c>
      <c r="C70" s="5" t="str">
        <f>HYPERLINK("#'Json-dokumentation'!J3237", "SIRData.Vårdtillfällen.OmvårdnadDelirium.NuDesc")</f>
        <v>SIRData.Vårdtillfällen.OmvårdnadDelirium.NuDesc</v>
      </c>
      <c r="D70" s="13" t="s">
        <v>2548</v>
      </c>
      <c r="E70" s="6"/>
    </row>
    <row r="71" spans="2:5" ht="60" x14ac:dyDescent="0.35">
      <c r="B71" s="10" t="s">
        <v>2550</v>
      </c>
      <c r="C71" s="5" t="str">
        <f>HYPERLINK("#'Json-dokumentation'!J3237", "SIRData.Vårdtillfällen.OmvårdnadDelirium.NuDesc")</f>
        <v>SIRData.Vårdtillfällen.OmvårdnadDelirium.NuDesc</v>
      </c>
      <c r="D71" s="13" t="s">
        <v>2551</v>
      </c>
      <c r="E71" s="6"/>
    </row>
    <row r="72" spans="2:5" ht="21" x14ac:dyDescent="0.35">
      <c r="B72" s="10" t="s">
        <v>2552</v>
      </c>
      <c r="C72" s="5" t="str">
        <f>HYPERLINK("#'Json-dokumentation'!J3238", "SIRData.Vårdtillfällen.OmvårdnadDelirium.NuDesc")</f>
        <v>SIRData.Vårdtillfällen.OmvårdnadDelirium.NuDesc</v>
      </c>
      <c r="D72" s="13" t="s">
        <v>2553</v>
      </c>
      <c r="E72" s="6"/>
    </row>
    <row r="73" spans="2:5" ht="21" x14ac:dyDescent="0.35">
      <c r="B73" s="10" t="s">
        <v>2554</v>
      </c>
      <c r="C73" s="5" t="str">
        <f>HYPERLINK("#'Json-dokumentation'!J3242", "SIRData.Vårdtillfällen.OmvårdnadDelirium.NuDesc")</f>
        <v>SIRData.Vårdtillfällen.OmvårdnadDelirium.NuDesc</v>
      </c>
      <c r="D73" s="13" t="s">
        <v>2555</v>
      </c>
      <c r="E73" s="6"/>
    </row>
    <row r="74" spans="2:5" ht="21" x14ac:dyDescent="0.35">
      <c r="B74" s="10" t="s">
        <v>2556</v>
      </c>
      <c r="C74" s="5" t="str">
        <f>HYPERLINK("#'Json-dokumentation'!J2656", "SIRData.Vårdtillfällen.OmvårdnadDelirium")</f>
        <v>SIRData.Vårdtillfällen.OmvårdnadDelirium</v>
      </c>
      <c r="D74" s="13" t="s">
        <v>2427</v>
      </c>
      <c r="E74" s="6"/>
    </row>
    <row r="75" spans="2:5" ht="30" x14ac:dyDescent="0.35">
      <c r="B75" s="10" t="s">
        <v>2557</v>
      </c>
      <c r="C75" s="5" t="str">
        <f>HYPERLINK("#'Json-dokumentation'!J2655", "SIRData.Vårdtillfällen.OmvårdnadDelirium.Regel: '29.01'")</f>
        <v>SIRData.Vårdtillfällen.OmvårdnadDelirium.Regel: '29.01'</v>
      </c>
      <c r="D75" s="13" t="s">
        <v>2558</v>
      </c>
      <c r="E75" s="6"/>
    </row>
    <row r="76" spans="2:5" ht="30" x14ac:dyDescent="0.35">
      <c r="B76" s="10" t="s">
        <v>2559</v>
      </c>
      <c r="C76" s="5" t="str">
        <f>HYPERLINK("#'Json-dokumentation'!J2655", "SIRData.Vårdtillfällen.OmvårdnadDelirium.Regel: '29.02'")</f>
        <v>SIRData.Vårdtillfällen.OmvårdnadDelirium.Regel: '29.02'</v>
      </c>
      <c r="D76" s="13" t="s">
        <v>2560</v>
      </c>
      <c r="E76" s="6"/>
    </row>
    <row r="77" spans="2:5" ht="90" x14ac:dyDescent="0.35">
      <c r="B77" s="10" t="s">
        <v>2561</v>
      </c>
      <c r="C77" s="5" t="str">
        <f>HYPERLINK("#'Json-dokumentation'!J2719", "SIRData.Vårdtillfällen.OmvårdnadDelirium.Regel: '29.03'")</f>
        <v>SIRData.Vårdtillfällen.OmvårdnadDelirium.Regel: '29.03'</v>
      </c>
      <c r="D77" s="13" t="s">
        <v>2562</v>
      </c>
      <c r="E77" s="6"/>
    </row>
    <row r="78" spans="2:5" ht="90" x14ac:dyDescent="0.35">
      <c r="B78" s="10" t="s">
        <v>2563</v>
      </c>
      <c r="C78" s="5" t="str">
        <f>HYPERLINK("#'Json-dokumentation'!J2720", "SIRData.Vårdtillfällen.OmvårdnadDelirium.Regel: '29.04'")</f>
        <v>SIRData.Vårdtillfällen.OmvårdnadDelirium.Regel: '29.04'</v>
      </c>
      <c r="D78" s="13" t="s">
        <v>2564</v>
      </c>
      <c r="E78" s="6"/>
    </row>
    <row r="79" spans="2:5" ht="105" x14ac:dyDescent="0.35">
      <c r="B79" s="10" t="s">
        <v>2565</v>
      </c>
      <c r="C79" s="5" t="str">
        <f>HYPERLINK("#'Json-dokumentation'!J2721", "SIRData.Vårdtillfällen.OmvårdnadDelirium.Regel: '29.05'")</f>
        <v>SIRData.Vårdtillfällen.OmvårdnadDelirium.Regel: '29.05'</v>
      </c>
      <c r="D79" s="13" t="s">
        <v>2566</v>
      </c>
      <c r="E79" s="6"/>
    </row>
    <row r="80" spans="2:5" ht="90" x14ac:dyDescent="0.35">
      <c r="B80" s="10" t="s">
        <v>2567</v>
      </c>
      <c r="C80" s="5" t="str">
        <f>HYPERLINK("#'Json-dokumentation'!J2722", "SIRData.Vårdtillfällen.OmvårdnadDelirium.Regel: '29.06'")</f>
        <v>SIRData.Vårdtillfällen.OmvårdnadDelirium.Regel: '29.06'</v>
      </c>
      <c r="D80" s="13" t="s">
        <v>2568</v>
      </c>
      <c r="E80" s="6"/>
    </row>
    <row r="81" spans="2:5" ht="60" x14ac:dyDescent="0.35">
      <c r="B81" s="10" t="s">
        <v>2569</v>
      </c>
      <c r="C81" s="5" t="str">
        <f>HYPERLINK("#'Json-dokumentation'!J2655", "SIRData.Vårdtillfällen.OmvårdnadDelirium.Regel: '29.07'")</f>
        <v>SIRData.Vårdtillfällen.OmvårdnadDelirium.Regel: '29.07'</v>
      </c>
      <c r="D81" s="13" t="s">
        <v>2570</v>
      </c>
      <c r="E81" s="6"/>
    </row>
    <row r="82" spans="2:5" ht="75" x14ac:dyDescent="0.35">
      <c r="B82" s="10" t="s">
        <v>2571</v>
      </c>
      <c r="C82" s="5" t="str">
        <f>HYPERLINK("#'Json-dokumentation'!J2723", "SIRData.Vårdtillfällen.OmvårdnadDelirium.Regel: '29.08'")</f>
        <v>SIRData.Vårdtillfällen.OmvårdnadDelirium.Regel: '29.08'</v>
      </c>
      <c r="D82" s="13" t="s">
        <v>2572</v>
      </c>
      <c r="E82" s="6"/>
    </row>
    <row r="83" spans="2:5" ht="21" x14ac:dyDescent="0.35">
      <c r="B83" s="10" t="s">
        <v>2573</v>
      </c>
      <c r="C83" s="5" t="str">
        <f>HYPERLINK("#'Json-dokumentation'!J2655", "SIRData.Vårdtillfällen.OmvårdnadDelirium.Regel: '29.09'")</f>
        <v>SIRData.Vårdtillfällen.OmvårdnadDelirium.Regel: '29.09'</v>
      </c>
      <c r="D83" s="13" t="s">
        <v>2574</v>
      </c>
      <c r="E83" s="6"/>
    </row>
    <row r="84" spans="2:5" ht="21" x14ac:dyDescent="0.35">
      <c r="B84" s="10" t="s">
        <v>2575</v>
      </c>
      <c r="C84" s="5" t="str">
        <f>HYPERLINK("#'Json-dokumentation'!J2655", "SIRData.Vårdtillfällen.OmvårdnadDelirium.Regel: '29.10'")</f>
        <v>SIRData.Vårdtillfällen.OmvårdnadDelirium.Regel: '29.10'</v>
      </c>
      <c r="D84" s="13" t="s">
        <v>2576</v>
      </c>
      <c r="E84" s="6"/>
    </row>
    <row r="85" spans="2:5" ht="21" x14ac:dyDescent="0.35">
      <c r="B85" s="10" t="s">
        <v>2577</v>
      </c>
      <c r="C85" s="5" t="str">
        <f>HYPERLINK("#'Json-dokumentation'!J2655", "SIRData.Vårdtillfällen.OmvårdnadDelirium.Regel: '29.11'")</f>
        <v>SIRData.Vårdtillfällen.OmvårdnadDelirium.Regel: '29.11'</v>
      </c>
      <c r="D85" s="13" t="s">
        <v>2578</v>
      </c>
      <c r="E85" s="6"/>
    </row>
    <row r="86" spans="2:5" ht="21" x14ac:dyDescent="0.35">
      <c r="B86" s="10" t="s">
        <v>2579</v>
      </c>
      <c r="C86" s="5" t="str">
        <f>HYPERLINK("#'Json-dokumentation'!J2655", "SIRData.Vårdtillfällen.OmvårdnadDelirium.Regel: '29.12'")</f>
        <v>SIRData.Vårdtillfällen.OmvårdnadDelirium.Regel: '29.12'</v>
      </c>
      <c r="D86" s="13" t="s">
        <v>2580</v>
      </c>
      <c r="E86" s="6"/>
    </row>
    <row r="87" spans="2:5" ht="21" x14ac:dyDescent="0.35">
      <c r="B87" s="10" t="s">
        <v>2581</v>
      </c>
      <c r="C87" s="5" t="str">
        <f>HYPERLINK("#'Json-dokumentation'!J2655", "SIRData.Vårdtillfällen.OmvårdnadDelirium.Regel: '29.13'")</f>
        <v>SIRData.Vårdtillfällen.OmvårdnadDelirium.Regel: '29.13'</v>
      </c>
      <c r="D87" s="13" t="s">
        <v>2582</v>
      </c>
      <c r="E87" s="6"/>
    </row>
    <row r="88" spans="2:5" ht="21" x14ac:dyDescent="0.35">
      <c r="B88" s="10" t="s">
        <v>2583</v>
      </c>
      <c r="C88" s="5" t="str">
        <f>HYPERLINK("#'Json-dokumentation'!J2655", "SIRData.Vårdtillfällen.OmvårdnadDelirium.Regel: '29.14'")</f>
        <v>SIRData.Vårdtillfällen.OmvårdnadDelirium.Regel: '29.14'</v>
      </c>
      <c r="D88" s="13" t="s">
        <v>2584</v>
      </c>
      <c r="E88" s="6"/>
    </row>
    <row r="89" spans="2:5" ht="21" x14ac:dyDescent="0.35">
      <c r="B89" s="10" t="s">
        <v>2585</v>
      </c>
      <c r="C89" s="5" t="str">
        <f>HYPERLINK("#'Json-dokumentation'!J2655", "SIRData.Vårdtillfällen.OmvårdnadDelirium.Regel: '29.15'")</f>
        <v>SIRData.Vårdtillfällen.OmvårdnadDelirium.Regel: '29.15'</v>
      </c>
      <c r="D89" s="13" t="s">
        <v>2586</v>
      </c>
      <c r="E89" s="6"/>
    </row>
    <row r="90" spans="2:5" ht="21" x14ac:dyDescent="0.35">
      <c r="B90" s="10" t="s">
        <v>2587</v>
      </c>
      <c r="C90" s="5" t="str">
        <f>HYPERLINK("#'Json-dokumentation'!J2655", "SIRData.Vårdtillfällen.OmvårdnadDelirium.Regel: '29.16'")</f>
        <v>SIRData.Vårdtillfällen.OmvårdnadDelirium.Regel: '29.16'</v>
      </c>
      <c r="D90" s="13" t="s">
        <v>2588</v>
      </c>
      <c r="E90" s="6"/>
    </row>
    <row r="91" spans="2:5" ht="21" x14ac:dyDescent="0.35">
      <c r="B91" s="10" t="s">
        <v>2589</v>
      </c>
      <c r="C91" s="5" t="str">
        <f>HYPERLINK("#'Json-dokumentation'!J2655", "SIRData.Vårdtillfällen.OmvårdnadDelirium.Regel: '29.17'")</f>
        <v>SIRData.Vårdtillfällen.OmvårdnadDelirium.Regel: '29.17'</v>
      </c>
      <c r="D91" s="13" t="s">
        <v>2590</v>
      </c>
      <c r="E91" s="6"/>
    </row>
    <row r="92" spans="2:5" ht="21" x14ac:dyDescent="0.35">
      <c r="B92" s="10" t="s">
        <v>2591</v>
      </c>
      <c r="C92" s="5" t="str">
        <f>HYPERLINK("#'Json-dokumentation'!J2655", "SIRData.Vårdtillfällen.OmvårdnadDelirium.Regel: '29.18'")</f>
        <v>SIRData.Vårdtillfällen.OmvårdnadDelirium.Regel: '29.18'</v>
      </c>
      <c r="D92" s="13" t="s">
        <v>2592</v>
      </c>
      <c r="E92" s="6"/>
    </row>
    <row r="93" spans="2:5" ht="21" x14ac:dyDescent="0.35">
      <c r="B93" s="10" t="s">
        <v>2593</v>
      </c>
      <c r="C93" s="5" t="str">
        <f>HYPERLINK("#'Json-dokumentation'!J2655", "SIRData.Vårdtillfällen.OmvårdnadDelirium.Regel: '29.19'")</f>
        <v>SIRData.Vårdtillfällen.OmvårdnadDelirium.Regel: '29.19'</v>
      </c>
      <c r="D93" s="13" t="s">
        <v>2594</v>
      </c>
      <c r="E93" s="6"/>
    </row>
    <row r="94" spans="2:5" ht="21" x14ac:dyDescent="0.35">
      <c r="B94" s="10" t="s">
        <v>2595</v>
      </c>
      <c r="C94" s="5" t="str">
        <f>HYPERLINK("#'Json-dokumentation'!J2655", "SIRData.Vårdtillfällen.OmvårdnadDelirium.Regel: '29.20'")</f>
        <v>SIRData.Vårdtillfällen.OmvårdnadDelirium.Regel: '29.20'</v>
      </c>
      <c r="D94" s="13" t="s">
        <v>2596</v>
      </c>
      <c r="E94" s="6"/>
    </row>
    <row r="95" spans="2:5" ht="21" x14ac:dyDescent="0.35">
      <c r="B95" s="10" t="s">
        <v>2597</v>
      </c>
      <c r="C95" s="5" t="str">
        <f>HYPERLINK("#'Json-dokumentation'!J2655", "SIRData.Vårdtillfällen.OmvårdnadDelirium.Regel: '29.21'")</f>
        <v>SIRData.Vårdtillfällen.OmvårdnadDelirium.Regel: '29.21'</v>
      </c>
      <c r="D95" s="13" t="s">
        <v>2598</v>
      </c>
      <c r="E95" s="6"/>
    </row>
    <row r="96" spans="2:5" ht="21" x14ac:dyDescent="0.35">
      <c r="B96" s="10" t="s">
        <v>2599</v>
      </c>
      <c r="C96" s="5" t="str">
        <f>HYPERLINK("#'Json-dokumentation'!J2655", "SIRData.Vårdtillfällen.OmvårdnadDelirium.Regel: '29.22'")</f>
        <v>SIRData.Vårdtillfällen.OmvårdnadDelirium.Regel: '29.22'</v>
      </c>
      <c r="D96" s="13" t="s">
        <v>2600</v>
      </c>
      <c r="E96" s="6"/>
    </row>
    <row r="97" spans="2:5" ht="21" x14ac:dyDescent="0.35">
      <c r="B97" s="11" t="s">
        <v>2601</v>
      </c>
      <c r="C97" s="8" t="str">
        <f>HYPERLINK("#'Json-dokumentation'!J2655", "SIRData.Vårdtillfällen.OmvårdnadDelirium.Regel: '29.23'")</f>
        <v>SIRData.Vårdtillfällen.OmvårdnadDelirium.Regel: '29.23'</v>
      </c>
      <c r="D97" s="14" t="s">
        <v>2602</v>
      </c>
      <c r="E97" s="6"/>
    </row>
    <row r="100" spans="2:5" ht="18.75" x14ac:dyDescent="0.25">
      <c r="B100" s="68" t="s">
        <v>2603</v>
      </c>
      <c r="C100" s="46"/>
      <c r="D100" s="4" t="s">
        <v>2604</v>
      </c>
    </row>
    <row r="101" spans="2:5" ht="21" x14ac:dyDescent="0.35">
      <c r="B101" s="9" t="s">
        <v>2605</v>
      </c>
      <c r="C101" s="7" t="str">
        <f>HYPERLINK("#'Json-dokumentation'!A7", "SIRData")</f>
        <v>SIRData</v>
      </c>
      <c r="D101" s="12" t="s">
        <v>2425</v>
      </c>
      <c r="E101" s="6"/>
    </row>
    <row r="102" spans="2:5" ht="45" x14ac:dyDescent="0.35">
      <c r="B102" s="10" t="s">
        <v>2606</v>
      </c>
      <c r="C102" s="5" t="str">
        <f>HYPERLINK("#'Json-dokumentation'!J2454", "SIRData.Vårdtillfällen.OmvårdnadSmärta.BedömningSaknasAnledning.Medvetandesänkt")</f>
        <v>SIRData.Vårdtillfällen.OmvårdnadSmärta.BedömningSaknasAnledning.Medvetandesänkt</v>
      </c>
      <c r="D102" s="13" t="s">
        <v>2607</v>
      </c>
      <c r="E102" s="6"/>
    </row>
    <row r="103" spans="2:5" ht="45" x14ac:dyDescent="0.35">
      <c r="B103" s="10" t="s">
        <v>2608</v>
      </c>
      <c r="C103" s="5" t="str">
        <f>HYPERLINK("#'Json-dokumentation'!J2454", "SIRData.Vårdtillfällen.OmvårdnadSmärta.BedömningSaknasAnledning.EjNärvarande")</f>
        <v>SIRData.Vårdtillfällen.OmvårdnadSmärta.BedömningSaknasAnledning.EjNärvarande</v>
      </c>
      <c r="D103" s="13" t="s">
        <v>2609</v>
      </c>
      <c r="E103" s="6"/>
    </row>
    <row r="104" spans="2:5" ht="30" x14ac:dyDescent="0.35">
      <c r="B104" s="10" t="s">
        <v>2610</v>
      </c>
      <c r="C104" s="5" t="str">
        <f>HYPERLINK("#'Json-dokumentation'!J2454", "SIRData.Vårdtillfällen.OmvårdnadSmärta.BedömningSaknasAnledning.Avliden")</f>
        <v>SIRData.Vårdtillfällen.OmvårdnadSmärta.BedömningSaknasAnledning.Avliden</v>
      </c>
      <c r="D104" s="13" t="s">
        <v>2611</v>
      </c>
      <c r="E104" s="6"/>
    </row>
    <row r="105" spans="2:5" ht="30" x14ac:dyDescent="0.35">
      <c r="B105" s="10" t="s">
        <v>2612</v>
      </c>
      <c r="C105" s="5" t="str">
        <f>HYPERLINK("#'Json-dokumentation'!J2454", "SIRData.Vårdtillfällen.OmvårdnadSmärta.BedömningSaknasAnledning.AnnanOrsak")</f>
        <v>SIRData.Vårdtillfällen.OmvårdnadSmärta.BedömningSaknasAnledning.AnnanOrsak</v>
      </c>
      <c r="D105" s="13" t="s">
        <v>2613</v>
      </c>
      <c r="E105" s="6"/>
    </row>
    <row r="106" spans="2:5" ht="45" x14ac:dyDescent="0.35">
      <c r="B106" s="10" t="s">
        <v>2614</v>
      </c>
      <c r="C106" s="5" t="str">
        <f>HYPERLINK("#'Json-dokumentation'!J2595", "SIRData.Vårdtillfällen.OmvårdnadSedering.BedömningSaknasAnledning.Medvetandesänkt")</f>
        <v>SIRData.Vårdtillfällen.OmvårdnadSedering.BedömningSaknasAnledning.Medvetandesänkt</v>
      </c>
      <c r="D106" s="13" t="s">
        <v>2607</v>
      </c>
      <c r="E106" s="6"/>
    </row>
    <row r="107" spans="2:5" ht="45" x14ac:dyDescent="0.35">
      <c r="B107" s="10" t="s">
        <v>2615</v>
      </c>
      <c r="C107" s="5" t="str">
        <f>HYPERLINK("#'Json-dokumentation'!J2595", "SIRData.Vårdtillfällen.OmvårdnadSedering.BedömningSaknasAnledning.EjNärvarande")</f>
        <v>SIRData.Vårdtillfällen.OmvårdnadSedering.BedömningSaknasAnledning.EjNärvarande</v>
      </c>
      <c r="D107" s="13" t="s">
        <v>2609</v>
      </c>
      <c r="E107" s="6"/>
    </row>
    <row r="108" spans="2:5" ht="30" x14ac:dyDescent="0.35">
      <c r="B108" s="10" t="s">
        <v>2616</v>
      </c>
      <c r="C108" s="5" t="str">
        <f>HYPERLINK("#'Json-dokumentation'!J2595", "SIRData.Vårdtillfällen.OmvårdnadSedering.BedömningSaknasAnledning.Avliden")</f>
        <v>SIRData.Vårdtillfällen.OmvårdnadSedering.BedömningSaknasAnledning.Avliden</v>
      </c>
      <c r="D108" s="13" t="s">
        <v>2611</v>
      </c>
      <c r="E108" s="6"/>
    </row>
    <row r="109" spans="2:5" ht="30" x14ac:dyDescent="0.35">
      <c r="B109" s="10" t="s">
        <v>2617</v>
      </c>
      <c r="C109" s="5" t="str">
        <f>HYPERLINK("#'Json-dokumentation'!J2595", "SIRData.Vårdtillfällen.OmvårdnadSedering.BedömningSaknasAnledning.AnnanOrsak")</f>
        <v>SIRData.Vårdtillfällen.OmvårdnadSedering.BedömningSaknasAnledning.AnnanOrsak</v>
      </c>
      <c r="D109" s="13" t="s">
        <v>2613</v>
      </c>
      <c r="E109" s="6"/>
    </row>
    <row r="110" spans="2:5" ht="60" x14ac:dyDescent="0.35">
      <c r="B110" s="10" t="s">
        <v>2618</v>
      </c>
      <c r="C110" s="5" t="str">
        <f>HYPERLINK("#'Json-dokumentation'!J2684", "SIRData.Vårdtillfällen.OmvårdnadDelirium.BedömningSaknasAnledning.Medvetandesänkt")</f>
        <v>SIRData.Vårdtillfällen.OmvårdnadDelirium.BedömningSaknasAnledning.Medvetandesänkt</v>
      </c>
      <c r="D110" s="13" t="s">
        <v>2619</v>
      </c>
      <c r="E110" s="6"/>
    </row>
    <row r="111" spans="2:5" ht="30" x14ac:dyDescent="0.35">
      <c r="B111" s="10" t="s">
        <v>2620</v>
      </c>
      <c r="C111" s="5" t="str">
        <f>HYPERLINK("#'Json-dokumentation'!J2684", "SIRData.Vårdtillfällen.OmvårdnadDelirium.BedömningSaknasAnledning.DjuptSederad")</f>
        <v>SIRData.Vårdtillfällen.OmvårdnadDelirium.BedömningSaknasAnledning.DjuptSederad</v>
      </c>
      <c r="D111" s="13" t="s">
        <v>2621</v>
      </c>
      <c r="E111" s="6"/>
    </row>
    <row r="112" spans="2:5" ht="30" x14ac:dyDescent="0.35">
      <c r="B112" s="11" t="s">
        <v>2622</v>
      </c>
      <c r="C112" s="8" t="str">
        <f>HYPERLINK("#'Json-dokumentation'!J2684", "SIRData.Vårdtillfällen.OmvårdnadDelirium.BedömningSaknasAnledning.AnnanOrsak")</f>
        <v>SIRData.Vårdtillfällen.OmvårdnadDelirium.BedömningSaknasAnledning.AnnanOrsak</v>
      </c>
      <c r="D112" s="14" t="s">
        <v>2613</v>
      </c>
      <c r="E112" s="6"/>
    </row>
    <row r="115" spans="2:5" ht="18.75" x14ac:dyDescent="0.25">
      <c r="B115" s="68" t="s">
        <v>2623</v>
      </c>
      <c r="C115" s="46"/>
      <c r="D115" s="4" t="s">
        <v>2624</v>
      </c>
    </row>
    <row r="116" spans="2:5" ht="21" x14ac:dyDescent="0.35">
      <c r="B116" s="9" t="s">
        <v>2625</v>
      </c>
      <c r="C116" s="7" t="str">
        <f>HYPERLINK("#'Json-dokumentation'!A7", "SIRData")</f>
        <v>SIRData</v>
      </c>
      <c r="D116" s="12" t="s">
        <v>2425</v>
      </c>
      <c r="E116" s="6"/>
    </row>
    <row r="117" spans="2:5" ht="60" x14ac:dyDescent="0.35">
      <c r="B117" s="10" t="s">
        <v>2626</v>
      </c>
      <c r="C117" s="5" t="str">
        <f>HYPERLINK("#'Json-dokumentation'!J53", "SIRData.Innehåll.Regel: '0.03'")</f>
        <v>SIRData.Innehåll.Regel: '0.03'</v>
      </c>
      <c r="D117" s="13" t="s">
        <v>2627</v>
      </c>
      <c r="E117" s="6"/>
    </row>
    <row r="118" spans="2:5" ht="135" x14ac:dyDescent="0.35">
      <c r="B118" s="10" t="s">
        <v>2628</v>
      </c>
      <c r="C118" s="5" t="str">
        <f>HYPERLINK("#'Json-dokumentation'!J204", "SIRData.Vårdtillfällen.Persondata.Regel: '2.07'")</f>
        <v>SIRData.Vårdtillfällen.Persondata.Regel: '2.07'</v>
      </c>
      <c r="D118" s="13" t="s">
        <v>2629</v>
      </c>
      <c r="E118" s="6"/>
    </row>
    <row r="119" spans="2:5" ht="90" x14ac:dyDescent="0.35">
      <c r="B119" s="10" t="s">
        <v>2630</v>
      </c>
      <c r="C119" s="5" t="str">
        <f>HYPERLINK("#'Json-dokumentation'!J205", "SIRData.Vårdtillfällen.Persondata.Regel: '2.08'")</f>
        <v>SIRData.Vårdtillfällen.Persondata.Regel: '2.08'</v>
      </c>
      <c r="D119" s="13" t="s">
        <v>2631</v>
      </c>
      <c r="E119" s="6"/>
    </row>
    <row r="120" spans="2:5" ht="30" x14ac:dyDescent="0.35">
      <c r="B120" s="10" t="s">
        <v>2632</v>
      </c>
      <c r="C120" s="5" t="str">
        <f>HYPERLINK("#'Json-dokumentation'!J246", "SIRData.Vårdtillfällen.Vårddata.Ankomstväg.AnnanIVA")</f>
        <v>SIRData.Vårdtillfällen.Vårddata.Ankomstväg.AnnanIVA</v>
      </c>
      <c r="D120" s="13" t="s">
        <v>2633</v>
      </c>
      <c r="E120" s="6"/>
    </row>
    <row r="121" spans="2:5" ht="45" x14ac:dyDescent="0.35">
      <c r="B121" s="10" t="s">
        <v>2634</v>
      </c>
      <c r="C121" s="5" t="str">
        <f>HYPERLINK("#'Json-dokumentation'!J246", "SIRData.Vårdtillfällen.Vårddata.Ankomstväg.AnnatSjukhus")</f>
        <v>SIRData.Vårdtillfällen.Vårddata.Ankomstväg.AnnatSjukhus</v>
      </c>
      <c r="D121" s="13" t="s">
        <v>2635</v>
      </c>
      <c r="E121" s="6"/>
    </row>
    <row r="122" spans="2:5" ht="30" x14ac:dyDescent="0.35">
      <c r="B122" s="10" t="s">
        <v>2636</v>
      </c>
      <c r="C122" s="5" t="str">
        <f>HYPERLINK("#'Json-dokumentation'!J246", "SIRData.Vårdtillfällen.Vårddata.Ankomstväg.Intermediärvård")</f>
        <v>SIRData.Vårdtillfällen.Vårddata.Ankomstväg.Intermediärvård</v>
      </c>
      <c r="D122" s="13" t="s">
        <v>2637</v>
      </c>
      <c r="E122" s="6"/>
    </row>
    <row r="123" spans="2:5" ht="30" x14ac:dyDescent="0.35">
      <c r="B123" s="10" t="s">
        <v>2638</v>
      </c>
      <c r="C123" s="5" t="str">
        <f>HYPERLINK("#'Json-dokumentation'!J246", "SIRData.Vårdtillfällen.Vårddata.Ankomstväg.Specialistvårdsmottagning")</f>
        <v>SIRData.Vårdtillfällen.Vårddata.Ankomstväg.Specialistvårdsmottagning</v>
      </c>
      <c r="D123" s="13" t="s">
        <v>2639</v>
      </c>
      <c r="E123" s="6"/>
    </row>
    <row r="124" spans="2:5" ht="30" x14ac:dyDescent="0.35">
      <c r="B124" s="10" t="s">
        <v>2640</v>
      </c>
      <c r="C124" s="5" t="str">
        <f>HYPERLINK("#'Json-dokumentation'!J246", "SIRData.Vårdtillfällen.Vårddata.Ankomstväg.KonverteringTillIMA")</f>
        <v>SIRData.Vårdtillfällen.Vårddata.Ankomstväg.KonverteringTillIMA</v>
      </c>
      <c r="D124" s="13" t="s">
        <v>2641</v>
      </c>
      <c r="E124" s="6"/>
    </row>
    <row r="125" spans="2:5" ht="30" x14ac:dyDescent="0.35">
      <c r="B125" s="10" t="s">
        <v>2642</v>
      </c>
      <c r="C125" s="5" t="str">
        <f>HYPERLINK("#'Json-dokumentation'!J288", "SIRData.Vårdtillfällen.Vårddata.UtskrivenTill.AnnatSjukhus")</f>
        <v>SIRData.Vårdtillfällen.Vårddata.UtskrivenTill.AnnatSjukhus</v>
      </c>
      <c r="D125" s="13" t="s">
        <v>2643</v>
      </c>
      <c r="E125" s="6"/>
    </row>
    <row r="126" spans="2:5" ht="30" x14ac:dyDescent="0.35">
      <c r="B126" s="10" t="s">
        <v>2644</v>
      </c>
      <c r="C126" s="5" t="str">
        <f>HYPERLINK("#'Json-dokumentation'!J288", "SIRData.Vårdtillfällen.Vårddata.UtskrivenTill.AnnanIVA")</f>
        <v>SIRData.Vårdtillfällen.Vårddata.UtskrivenTill.AnnanIVA</v>
      </c>
      <c r="D126" s="13" t="s">
        <v>2633</v>
      </c>
      <c r="E126" s="6"/>
    </row>
    <row r="127" spans="2:5" ht="30" x14ac:dyDescent="0.35">
      <c r="B127" s="10" t="s">
        <v>2645</v>
      </c>
      <c r="C127" s="5" t="str">
        <f>HYPERLINK("#'Json-dokumentation'!J288", "SIRData.Vårdtillfällen.Vårddata.UtskrivenTill.Intermediärvård")</f>
        <v>SIRData.Vårdtillfällen.Vårddata.UtskrivenTill.Intermediärvård</v>
      </c>
      <c r="D127" s="13" t="s">
        <v>2637</v>
      </c>
      <c r="E127" s="6"/>
    </row>
    <row r="128" spans="2:5" ht="30" x14ac:dyDescent="0.35">
      <c r="B128" s="10" t="s">
        <v>2646</v>
      </c>
      <c r="C128" s="5" t="str">
        <f>HYPERLINK("#'Json-dokumentation'!J288", "SIRData.Vårdtillfällen.Vårddata.UtskrivenTill.KonverteradTillIMA")</f>
        <v>SIRData.Vårdtillfällen.Vårddata.UtskrivenTill.KonverteradTillIMA</v>
      </c>
      <c r="D128" s="13" t="s">
        <v>2647</v>
      </c>
      <c r="E128" s="6"/>
    </row>
    <row r="129" spans="2:5" ht="90" x14ac:dyDescent="0.35">
      <c r="B129" s="10" t="s">
        <v>2648</v>
      </c>
      <c r="C129" s="5" t="str">
        <f>HYPERLINK("#'Json-dokumentation'!J379", "SIRData.Vårdtillfällen.Vårddata.Regel: '3.11'")</f>
        <v>SIRData.Vårdtillfällen.Vårddata.Regel: '3.11'</v>
      </c>
      <c r="D129" s="13" t="s">
        <v>2649</v>
      </c>
      <c r="E129" s="6"/>
    </row>
    <row r="130" spans="2:5" ht="21" x14ac:dyDescent="0.35">
      <c r="B130" s="10" t="s">
        <v>2650</v>
      </c>
      <c r="C130" s="5" t="str">
        <f>HYPERLINK("#'Json-dokumentation'!J212", "SIRData.Vårdtillfällen.Vårddata.Regel: '3.25'")</f>
        <v>SIRData.Vårdtillfällen.Vårddata.Regel: '3.25'</v>
      </c>
      <c r="D130" s="13" t="s">
        <v>2651</v>
      </c>
      <c r="E130" s="6"/>
    </row>
    <row r="131" spans="2:5" ht="21" x14ac:dyDescent="0.35">
      <c r="B131" s="10" t="s">
        <v>2652</v>
      </c>
      <c r="C131" s="5" t="str">
        <f>HYPERLINK("#'Json-dokumentation'!J212", "SIRData.Vårdtillfällen.Vårddata.Regel: '3.26'")</f>
        <v>SIRData.Vårdtillfällen.Vårddata.Regel: '3.26'</v>
      </c>
      <c r="D131" s="13" t="s">
        <v>2653</v>
      </c>
      <c r="E131" s="6"/>
    </row>
    <row r="132" spans="2:5" ht="120" x14ac:dyDescent="0.35">
      <c r="B132" s="10" t="s">
        <v>2654</v>
      </c>
      <c r="C132" s="5" t="str">
        <f>HYPERLINK("#'Json-dokumentation'!J791", "SIRData.Vårdtillfällen.SAPS3.Regel: '10.02'")</f>
        <v>SIRData.Vårdtillfällen.SAPS3.Regel: '10.02'</v>
      </c>
      <c r="D132" s="13" t="s">
        <v>2655</v>
      </c>
      <c r="E132" s="6"/>
    </row>
    <row r="133" spans="2:5" ht="90" x14ac:dyDescent="0.35">
      <c r="B133" s="10" t="s">
        <v>2656</v>
      </c>
      <c r="C133" s="5" t="str">
        <f>HYPERLINK("#'Json-dokumentation'!J956", "SIRData.Vårdtillfällen.ClinicalFrailtyScale.Regel: '4.01'")</f>
        <v>SIRData.Vårdtillfällen.ClinicalFrailtyScale.Regel: '4.01'</v>
      </c>
      <c r="D133" s="13" t="s">
        <v>2657</v>
      </c>
      <c r="E133" s="6"/>
    </row>
    <row r="134" spans="2:5" ht="75" x14ac:dyDescent="0.35">
      <c r="B134" s="10" t="s">
        <v>2658</v>
      </c>
      <c r="C134" s="5" t="str">
        <f>HYPERLINK("#'Json-dokumentation'!J1367", "SIRData.Vårdtillfällen.DagligSOFA.Regel: '30.01'")</f>
        <v>SIRData.Vårdtillfällen.DagligSOFA.Regel: '30.01'</v>
      </c>
      <c r="D134" s="13" t="s">
        <v>2659</v>
      </c>
      <c r="E134" s="6"/>
    </row>
    <row r="135" spans="2:5" ht="21" x14ac:dyDescent="0.35">
      <c r="B135" s="10" t="s">
        <v>2660</v>
      </c>
      <c r="C135" s="5" t="str">
        <f>HYPERLINK("#'Json-dokumentation'!J1755", "SIRData.Vårdtillfällen.Avliden2024.Regel: '31.64'")</f>
        <v>SIRData.Vårdtillfällen.Avliden2024.Regel: '31.64'</v>
      </c>
      <c r="D135" s="13" t="s">
        <v>2661</v>
      </c>
      <c r="E135" s="6"/>
    </row>
    <row r="136" spans="2:5" ht="21" x14ac:dyDescent="0.35">
      <c r="B136" s="10" t="s">
        <v>2662</v>
      </c>
      <c r="C136" s="5" t="str">
        <f>HYPERLINK("#'Json-dokumentation'!J2019", "SIRData.Vårdtillfällen.Komplikationer2012.Regel: '11.05'")</f>
        <v>SIRData.Vårdtillfällen.Komplikationer2012.Regel: '11.05'</v>
      </c>
      <c r="D136" s="13" t="s">
        <v>2663</v>
      </c>
      <c r="E136" s="6"/>
    </row>
    <row r="137" spans="2:5" ht="21" x14ac:dyDescent="0.35">
      <c r="B137" s="10" t="s">
        <v>2664</v>
      </c>
      <c r="C137" s="5" t="str">
        <f>HYPERLINK("#'Json-dokumentation'!J2367", "SIRData.Vårdtillfällen.Sederingsmål.Regel: '25.04'")</f>
        <v>SIRData.Vårdtillfällen.Sederingsmål.Regel: '25.04'</v>
      </c>
      <c r="D137" s="13" t="s">
        <v>2665</v>
      </c>
      <c r="E137" s="6"/>
    </row>
    <row r="138" spans="2:5" ht="21" x14ac:dyDescent="0.35">
      <c r="B138" s="10" t="s">
        <v>2666</v>
      </c>
      <c r="C138" s="5" t="str">
        <f>HYPERLINK("#'Json-dokumentation'!J2412", "SIRData.Vårdtillfällen.OmvårdnadSmärta.Regel: '27.18'")</f>
        <v>SIRData.Vårdtillfällen.OmvårdnadSmärta.Regel: '27.18'</v>
      </c>
      <c r="D138" s="13" t="s">
        <v>2667</v>
      </c>
      <c r="E138" s="6"/>
    </row>
    <row r="139" spans="2:5" ht="21" x14ac:dyDescent="0.35">
      <c r="B139" s="10" t="s">
        <v>2668</v>
      </c>
      <c r="C139" s="5" t="str">
        <f>HYPERLINK("#'Json-dokumentation'!J2519", "SIRData.Vårdtillfällen.OmvårdnadSedering.Regel: '28.11'")</f>
        <v>SIRData.Vårdtillfällen.OmvårdnadSedering.Regel: '28.11'</v>
      </c>
      <c r="D139" s="13" t="s">
        <v>2669</v>
      </c>
      <c r="E139" s="6"/>
    </row>
    <row r="140" spans="2:5" ht="21" x14ac:dyDescent="0.35">
      <c r="B140" s="11" t="s">
        <v>2670</v>
      </c>
      <c r="C140" s="8" t="str">
        <f>HYPERLINK("#'Json-dokumentation'!J2655", "SIRData.Vårdtillfällen.OmvårdnadDelirium.Regel: '29.08'")</f>
        <v>SIRData.Vårdtillfällen.OmvårdnadDelirium.Regel: '29.08'</v>
      </c>
      <c r="D140" s="14" t="s">
        <v>2671</v>
      </c>
      <c r="E140" s="6"/>
    </row>
    <row r="143" spans="2:5" ht="18.75" x14ac:dyDescent="0.25">
      <c r="B143" s="68" t="s">
        <v>2672</v>
      </c>
      <c r="C143" s="46"/>
      <c r="D143" s="4" t="s">
        <v>2673</v>
      </c>
    </row>
    <row r="144" spans="2:5" ht="21" x14ac:dyDescent="0.35">
      <c r="B144" s="9" t="s">
        <v>2674</v>
      </c>
      <c r="C144" s="7" t="s">
        <v>2675</v>
      </c>
      <c r="D144" s="12" t="s">
        <v>2676</v>
      </c>
      <c r="E144" s="6"/>
    </row>
    <row r="145" spans="2:5" ht="21" x14ac:dyDescent="0.35">
      <c r="B145" s="10" t="s">
        <v>2677</v>
      </c>
      <c r="C145" s="5" t="s">
        <v>2678</v>
      </c>
      <c r="D145" s="13" t="s">
        <v>2679</v>
      </c>
      <c r="E145" s="6"/>
    </row>
    <row r="146" spans="2:5" ht="21" x14ac:dyDescent="0.35">
      <c r="B146" s="10" t="s">
        <v>2680</v>
      </c>
      <c r="C146" s="5" t="s">
        <v>2681</v>
      </c>
      <c r="D146" s="13" t="s">
        <v>2682</v>
      </c>
      <c r="E146" s="6"/>
    </row>
    <row r="147" spans="2:5" ht="21" x14ac:dyDescent="0.35">
      <c r="B147" s="10" t="s">
        <v>2683</v>
      </c>
      <c r="C147" s="5" t="s">
        <v>2684</v>
      </c>
      <c r="D147" s="13" t="s">
        <v>2685</v>
      </c>
      <c r="E147" s="6"/>
    </row>
    <row r="148" spans="2:5" ht="21" x14ac:dyDescent="0.35">
      <c r="B148" s="10" t="s">
        <v>2686</v>
      </c>
      <c r="C148" s="5" t="s">
        <v>2687</v>
      </c>
      <c r="D148" s="13" t="s">
        <v>2688</v>
      </c>
      <c r="E148" s="6"/>
    </row>
    <row r="149" spans="2:5" ht="21" x14ac:dyDescent="0.35">
      <c r="B149" s="10" t="s">
        <v>2689</v>
      </c>
      <c r="C149" s="5" t="s">
        <v>2422</v>
      </c>
      <c r="D149" s="13" t="s">
        <v>2423</v>
      </c>
      <c r="E149" s="6"/>
    </row>
    <row r="150" spans="2:5" ht="21" x14ac:dyDescent="0.35">
      <c r="B150" s="10" t="s">
        <v>2690</v>
      </c>
      <c r="C150" s="5" t="s">
        <v>2691</v>
      </c>
      <c r="D150" s="13" t="s">
        <v>2692</v>
      </c>
      <c r="E150" s="6"/>
    </row>
    <row r="151" spans="2:5" ht="375" x14ac:dyDescent="0.35">
      <c r="B151" s="10" t="s">
        <v>2693</v>
      </c>
      <c r="C151" s="5" t="str">
        <f>HYPERLINK("#'Json-dokumentation'!J2870", "SIRData.Vårdtillfällen.SOFAData.SOFAs")</f>
        <v>SIRData.Vårdtillfällen.SOFAData.SOFAs</v>
      </c>
      <c r="D151" s="13" t="s">
        <v>2694</v>
      </c>
      <c r="E151" s="6"/>
    </row>
    <row r="152" spans="2:5" ht="105" x14ac:dyDescent="0.35">
      <c r="B152" s="10" t="s">
        <v>2695</v>
      </c>
      <c r="C152" s="5" t="str">
        <f>HYPERLINK("#'Json-dokumentation'!J2503", "SIRData.Vårdtillfällen.OmvårdnadSmärta.Regel: '27.17'")</f>
        <v>SIRData.Vårdtillfällen.OmvårdnadSmärta.Regel: '27.17'</v>
      </c>
      <c r="D152" s="13" t="s">
        <v>2696</v>
      </c>
      <c r="E152" s="6"/>
    </row>
    <row r="153" spans="2:5" ht="45" x14ac:dyDescent="0.35">
      <c r="B153" s="10" t="s">
        <v>2697</v>
      </c>
      <c r="C153" s="5" t="str">
        <f>HYPERLINK("#'Json-dokumentation'!J2412", "SIRData.Vårdtillfällen.OmvårdnadSmärta.Regel: '28.01'")</f>
        <v>SIRData.Vårdtillfällen.OmvårdnadSmärta.Regel: '28.01'</v>
      </c>
      <c r="D153" s="13" t="s">
        <v>2698</v>
      </c>
      <c r="E153" s="6"/>
    </row>
    <row r="154" spans="2:5" ht="30" x14ac:dyDescent="0.35">
      <c r="B154" s="10" t="s">
        <v>2699</v>
      </c>
      <c r="C154" s="5" t="str">
        <f>HYPERLINK("#'Json-dokumentation'!J2412", "SIRData.Vårdtillfällen.OmvårdnadSmärta.Regel: '29.01'")</f>
        <v>SIRData.Vårdtillfällen.OmvårdnadSmärta.Regel: '29.01'</v>
      </c>
      <c r="D154" s="13" t="s">
        <v>2558</v>
      </c>
      <c r="E154" s="6"/>
    </row>
    <row r="155" spans="2:5" ht="105" x14ac:dyDescent="0.35">
      <c r="B155" s="10" t="s">
        <v>2700</v>
      </c>
      <c r="C155" s="5" t="str">
        <f>HYPERLINK("#'Json-dokumentation'!J2629", "SIRData.Vårdtillfällen.OmvårdnadSedering.Regel: '28.10'")</f>
        <v>SIRData.Vårdtillfällen.OmvårdnadSedering.Regel: '28.10'</v>
      </c>
      <c r="D155" s="13" t="s">
        <v>2701</v>
      </c>
      <c r="E155" s="6"/>
    </row>
    <row r="156" spans="2:5" ht="21" x14ac:dyDescent="0.35">
      <c r="B156" s="10" t="s">
        <v>2702</v>
      </c>
      <c r="C156" s="5" t="str">
        <f>HYPERLINK("#'Json-dokumentation'!J2519", "SIRData.Vårdtillfällen.OmvårdnadSedering.Regel: '28.01'")</f>
        <v>SIRData.Vårdtillfällen.OmvårdnadSedering.Regel: '28.01'</v>
      </c>
      <c r="D156" s="13" t="s">
        <v>2703</v>
      </c>
      <c r="E156" s="6"/>
    </row>
    <row r="157" spans="2:5" ht="105" x14ac:dyDescent="0.35">
      <c r="B157" s="10" t="s">
        <v>2704</v>
      </c>
      <c r="C157" s="5" t="s">
        <v>2705</v>
      </c>
      <c r="D157" s="13" t="s">
        <v>2706</v>
      </c>
      <c r="E157" s="6"/>
    </row>
    <row r="158" spans="2:5" ht="21" x14ac:dyDescent="0.35">
      <c r="B158" s="11" t="s">
        <v>2707</v>
      </c>
      <c r="C158" s="8" t="str">
        <f>HYPERLINK("#'Json-dokumentation'!J2655", "SIRData.Vårdtillfällen.OmvårdnadDelirium.Regel: '29.01'")</f>
        <v>SIRData.Vårdtillfällen.OmvårdnadDelirium.Regel: '29.01'</v>
      </c>
      <c r="D158" s="14" t="s">
        <v>2544</v>
      </c>
      <c r="E158" s="6"/>
    </row>
    <row r="161" spans="2:5" ht="18.75" x14ac:dyDescent="0.25">
      <c r="B161" s="68" t="s">
        <v>2708</v>
      </c>
      <c r="C161" s="46"/>
      <c r="D161" s="4" t="s">
        <v>2709</v>
      </c>
    </row>
    <row r="162" spans="2:5" ht="21" x14ac:dyDescent="0.35">
      <c r="B162" s="9" t="s">
        <v>2710</v>
      </c>
      <c r="C162" s="7" t="str">
        <f>HYPERLINK("#'Json-dokumentation'!A7", "SIRData")</f>
        <v>SIRData</v>
      </c>
      <c r="D162" s="12" t="s">
        <v>2425</v>
      </c>
      <c r="E162" s="6"/>
    </row>
    <row r="163" spans="2:5" ht="75" x14ac:dyDescent="0.35">
      <c r="B163" s="10" t="s">
        <v>2711</v>
      </c>
      <c r="C163" s="5" t="str">
        <f>HYPERLINK("#'Json-dokumentation'!J7", "SIRData.FilTyp")</f>
        <v>SIRData.FilTyp</v>
      </c>
      <c r="D163" s="13" t="s">
        <v>2712</v>
      </c>
      <c r="E163" s="6"/>
    </row>
    <row r="164" spans="2:5" ht="75" x14ac:dyDescent="0.35">
      <c r="B164" s="10" t="s">
        <v>2713</v>
      </c>
      <c r="C164" s="5" t="str">
        <f>HYPERLINK("#'Json-dokumentation'!J7", "SIRData.FilTyp")</f>
        <v>SIRData.FilTyp</v>
      </c>
      <c r="D164" s="13" t="s">
        <v>2712</v>
      </c>
      <c r="E164" s="6"/>
    </row>
    <row r="165" spans="2:5" ht="21" x14ac:dyDescent="0.35">
      <c r="B165" s="10" t="s">
        <v>2714</v>
      </c>
      <c r="C165" s="5" t="str">
        <f>HYPERLINK("#'Json-dokumentation'!J7", "SIRData.FilTyp.Intermediärvårdsdata")</f>
        <v>SIRData.FilTyp.Intermediärvårdsdata</v>
      </c>
      <c r="D165" s="13" t="s">
        <v>2715</v>
      </c>
      <c r="E165" s="6"/>
    </row>
    <row r="166" spans="2:5" ht="409.5" x14ac:dyDescent="0.35">
      <c r="B166" s="10" t="s">
        <v>2716</v>
      </c>
      <c r="C166" s="5" t="str">
        <f>HYPERLINK("#'Json-dokumentation'!J39", "SIRData.Innehåll.PeriodSlut")</f>
        <v>SIRData.Innehåll.PeriodSlut</v>
      </c>
      <c r="D166" s="13" t="s">
        <v>2717</v>
      </c>
      <c r="E166" s="6"/>
    </row>
    <row r="167" spans="2:5" ht="409.5" x14ac:dyDescent="0.35">
      <c r="B167" s="10" t="s">
        <v>2718</v>
      </c>
      <c r="C167" s="5" t="str">
        <f>HYPERLINK("#'Json-dokumentation'!J39", "SIRData.Innehåll.PeriodSlut")</f>
        <v>SIRData.Innehåll.PeriodSlut</v>
      </c>
      <c r="D167" s="13" t="s">
        <v>2717</v>
      </c>
      <c r="E167" s="6"/>
    </row>
    <row r="168" spans="2:5" ht="90" x14ac:dyDescent="0.35">
      <c r="B168" s="10" t="s">
        <v>2719</v>
      </c>
      <c r="C168" s="5" t="str">
        <f>HYPERLINK("#'Json-dokumentation'!J52", "SIRData.Innehåll.Regel: '0.02'")</f>
        <v>SIRData.Innehåll.Regel: '0.02'</v>
      </c>
      <c r="D168" s="13" t="s">
        <v>2720</v>
      </c>
      <c r="E168" s="6"/>
    </row>
    <row r="169" spans="2:5" ht="21" x14ac:dyDescent="0.35">
      <c r="B169" s="10" t="s">
        <v>2721</v>
      </c>
      <c r="C169" s="5" t="str">
        <f>HYPERLINK("#'Json-dokumentation'!J23", "SIRData.Innehåll.Regel: '0.03'")</f>
        <v>SIRData.Innehåll.Regel: '0.03'</v>
      </c>
      <c r="D169" s="13" t="s">
        <v>2722</v>
      </c>
      <c r="E169" s="6"/>
    </row>
    <row r="170" spans="2:5" ht="21" x14ac:dyDescent="0.35">
      <c r="B170" s="10" t="s">
        <v>2723</v>
      </c>
      <c r="C170" s="5" t="str">
        <f>HYPERLINK("#'Json-dokumentation'!J235", "SIRData.Vårdtillfällen.Vårddata.Vårdtyp.IMA")</f>
        <v>SIRData.Vårdtillfällen.Vårddata.Vårdtyp.IMA</v>
      </c>
      <c r="D170" s="13" t="s">
        <v>2724</v>
      </c>
      <c r="E170" s="6"/>
    </row>
    <row r="171" spans="2:5" ht="21" x14ac:dyDescent="0.35">
      <c r="B171" s="10" t="s">
        <v>2725</v>
      </c>
      <c r="C171" s="5" t="str">
        <f>HYPERLINK("#'Json-dokumentation'!J2858", "SIRData.Vårdtillfällen.Vårddata")</f>
        <v>SIRData.Vårdtillfällen.Vårddata</v>
      </c>
      <c r="D171" s="13" t="s">
        <v>2726</v>
      </c>
      <c r="E171" s="6"/>
    </row>
    <row r="172" spans="2:5" ht="21" x14ac:dyDescent="0.35">
      <c r="B172" s="11" t="s">
        <v>2727</v>
      </c>
      <c r="C172" s="8" t="str">
        <f>HYPERLINK("#'Json-dokumentation'!J212", "SIRData.Vårdtillfällen.Vårddata.Regel: '3.24'")</f>
        <v>SIRData.Vårdtillfällen.Vårddata.Regel: '3.24'</v>
      </c>
      <c r="D172" s="14" t="s">
        <v>2728</v>
      </c>
      <c r="E172" s="6"/>
    </row>
    <row r="175" spans="2:5" ht="18.75" x14ac:dyDescent="0.25">
      <c r="B175" s="68" t="s">
        <v>2729</v>
      </c>
      <c r="C175" s="46"/>
      <c r="D175" s="4" t="s">
        <v>2730</v>
      </c>
    </row>
    <row r="176" spans="2:5" ht="60" x14ac:dyDescent="0.35">
      <c r="B176" s="9" t="s">
        <v>2731</v>
      </c>
      <c r="C176" s="7" t="str">
        <f>HYPERLINK("#'Json-dokumentation'!J202", "SIRData.Vårdtillfällen.Persondata.Regel: '2.05'")</f>
        <v>SIRData.Vårdtillfällen.Persondata.Regel: '2.05'</v>
      </c>
      <c r="D176" s="12" t="s">
        <v>2732</v>
      </c>
      <c r="E176" s="6"/>
    </row>
    <row r="177" spans="2:5" ht="90" x14ac:dyDescent="0.35">
      <c r="B177" s="10" t="s">
        <v>2733</v>
      </c>
      <c r="C177" s="5" t="str">
        <f>HYPERLINK("#'Json-dokumentation'!J803", "SIRData.Vårdtillfällen.Higgins.Status")</f>
        <v>SIRData.Vårdtillfällen.Higgins.Status</v>
      </c>
      <c r="D177" s="13" t="s">
        <v>2734</v>
      </c>
      <c r="E177" s="6"/>
    </row>
    <row r="178" spans="2:5" ht="90" x14ac:dyDescent="0.35">
      <c r="B178" s="10" t="s">
        <v>2735</v>
      </c>
      <c r="C178" s="5" t="str">
        <f>HYPERLINK("#'Json-dokumentation'!J803", "SIRData.Vårdtillfällen.Higgins.Status")</f>
        <v>SIRData.Vårdtillfällen.Higgins.Status</v>
      </c>
      <c r="D178" s="13" t="s">
        <v>2734</v>
      </c>
      <c r="E178" s="6"/>
    </row>
    <row r="179" spans="2:5" ht="90" x14ac:dyDescent="0.35">
      <c r="B179" s="10" t="s">
        <v>2736</v>
      </c>
      <c r="C179" s="5" t="str">
        <f>HYPERLINK("#'Json-dokumentation'!J809", "SIRData.Vårdtillfällen.Higgins.AntalHjärtop")</f>
        <v>SIRData.Vårdtillfällen.Higgins.AntalHjärtop</v>
      </c>
      <c r="D179" s="13" t="s">
        <v>2737</v>
      </c>
      <c r="E179" s="6"/>
    </row>
    <row r="180" spans="2:5" ht="90" x14ac:dyDescent="0.35">
      <c r="B180" s="10" t="s">
        <v>2738</v>
      </c>
      <c r="C180" s="5" t="str">
        <f>HYPERLINK("#'Json-dokumentation'!J809", "SIRData.Vårdtillfällen.Higgins.AntalHjärtop")</f>
        <v>SIRData.Vårdtillfällen.Higgins.AntalHjärtop</v>
      </c>
      <c r="D180" s="13" t="s">
        <v>2737</v>
      </c>
      <c r="E180" s="6"/>
    </row>
    <row r="181" spans="2:5" ht="90" x14ac:dyDescent="0.35">
      <c r="B181" s="10" t="s">
        <v>2739</v>
      </c>
      <c r="C181" s="5" t="str">
        <f>HYPERLINK("#'Json-dokumentation'!J815", "SIRData.Vårdtillfällen.Higgins.TidigareKärlkirurgi")</f>
        <v>SIRData.Vårdtillfällen.Higgins.TidigareKärlkirurgi</v>
      </c>
      <c r="D181" s="13" t="s">
        <v>2740</v>
      </c>
      <c r="E181" s="6"/>
    </row>
    <row r="182" spans="2:5" ht="90" x14ac:dyDescent="0.35">
      <c r="B182" s="10" t="s">
        <v>2741</v>
      </c>
      <c r="C182" s="5" t="str">
        <f>HYPERLINK("#'Json-dokumentation'!J815", "SIRData.Vårdtillfällen.Higgins.TidigareKärlkirurgi")</f>
        <v>SIRData.Vårdtillfällen.Higgins.TidigareKärlkirurgi</v>
      </c>
      <c r="D182" s="13" t="s">
        <v>2740</v>
      </c>
      <c r="E182" s="6"/>
    </row>
    <row r="183" spans="2:5" ht="120" x14ac:dyDescent="0.35">
      <c r="B183" s="10" t="s">
        <v>2742</v>
      </c>
      <c r="C183" s="5" t="str">
        <f>HYPERLINK("#'Json-dokumentation'!J820", "SIRData.Vårdtillfällen.Higgins.Vikt")</f>
        <v>SIRData.Vårdtillfällen.Higgins.Vikt</v>
      </c>
      <c r="D183" s="13" t="s">
        <v>2743</v>
      </c>
      <c r="E183" s="6"/>
    </row>
    <row r="184" spans="2:5" ht="120" x14ac:dyDescent="0.35">
      <c r="B184" s="10" t="s">
        <v>2744</v>
      </c>
      <c r="C184" s="5" t="str">
        <f>HYPERLINK("#'Json-dokumentation'!J820", "SIRData.Vårdtillfällen.Higgins.Vikt")</f>
        <v>SIRData.Vårdtillfällen.Higgins.Vikt</v>
      </c>
      <c r="D184" s="13" t="s">
        <v>2743</v>
      </c>
      <c r="E184" s="6"/>
    </row>
    <row r="185" spans="2:5" ht="120" x14ac:dyDescent="0.35">
      <c r="B185" s="10" t="s">
        <v>2745</v>
      </c>
      <c r="C185" s="5" t="str">
        <f>HYPERLINK("#'Json-dokumentation'!J826", "SIRData.Vårdtillfällen.Higgins.Längd")</f>
        <v>SIRData.Vårdtillfällen.Higgins.Längd</v>
      </c>
      <c r="D185" s="13" t="s">
        <v>2746</v>
      </c>
      <c r="E185" s="6"/>
    </row>
    <row r="186" spans="2:5" ht="120" x14ac:dyDescent="0.35">
      <c r="B186" s="10" t="s">
        <v>2747</v>
      </c>
      <c r="C186" s="5" t="str">
        <f>HYPERLINK("#'Json-dokumentation'!J826", "SIRData.Vårdtillfällen.Higgins.Längd")</f>
        <v>SIRData.Vårdtillfällen.Higgins.Längd</v>
      </c>
      <c r="D186" s="13" t="s">
        <v>2746</v>
      </c>
      <c r="E186" s="6"/>
    </row>
    <row r="187" spans="2:5" ht="210" x14ac:dyDescent="0.35">
      <c r="B187" s="10" t="s">
        <v>2748</v>
      </c>
      <c r="C187" s="5" t="str">
        <f>HYPERLINK("#'Json-dokumentation'!J832", "SIRData.Vårdtillfällen.Higgins.KreaPreop")</f>
        <v>SIRData.Vårdtillfällen.Higgins.KreaPreop</v>
      </c>
      <c r="D187" s="13" t="s">
        <v>2749</v>
      </c>
      <c r="E187" s="6"/>
    </row>
    <row r="188" spans="2:5" ht="210" x14ac:dyDescent="0.35">
      <c r="B188" s="10" t="s">
        <v>2750</v>
      </c>
      <c r="C188" s="5" t="str">
        <f>HYPERLINK("#'Json-dokumentation'!J832", "SIRData.Vårdtillfällen.Higgins.KreaPreop")</f>
        <v>SIRData.Vårdtillfällen.Higgins.KreaPreop</v>
      </c>
      <c r="D188" s="13" t="s">
        <v>2749</v>
      </c>
      <c r="E188" s="6"/>
    </row>
    <row r="189" spans="2:5" ht="210" x14ac:dyDescent="0.35">
      <c r="B189" s="10" t="s">
        <v>2751</v>
      </c>
      <c r="C189" s="5" t="str">
        <f>HYPERLINK("#'Json-dokumentation'!J838", "SIRData.Vårdtillfällen.Higgins.AlbPreop")</f>
        <v>SIRData.Vårdtillfällen.Higgins.AlbPreop</v>
      </c>
      <c r="D189" s="13" t="s">
        <v>2752</v>
      </c>
      <c r="E189" s="6"/>
    </row>
    <row r="190" spans="2:5" ht="210" x14ac:dyDescent="0.35">
      <c r="B190" s="10" t="s">
        <v>2753</v>
      </c>
      <c r="C190" s="5" t="str">
        <f>HYPERLINK("#'Json-dokumentation'!J838", "SIRData.Vårdtillfällen.Higgins.AlbPreop")</f>
        <v>SIRData.Vårdtillfällen.Higgins.AlbPreop</v>
      </c>
      <c r="D190" s="13" t="s">
        <v>2752</v>
      </c>
      <c r="E190" s="6"/>
    </row>
    <row r="191" spans="2:5" ht="150" x14ac:dyDescent="0.35">
      <c r="B191" s="10" t="s">
        <v>2754</v>
      </c>
      <c r="C191" s="5" t="str">
        <f>HYPERLINK("#'Json-dokumentation'!J844", "SIRData.Vårdtillfällen.Higgins.ECCtid")</f>
        <v>SIRData.Vårdtillfällen.Higgins.ECCtid</v>
      </c>
      <c r="D191" s="13" t="s">
        <v>2755</v>
      </c>
      <c r="E191" s="6"/>
    </row>
    <row r="192" spans="2:5" ht="150" x14ac:dyDescent="0.35">
      <c r="B192" s="10" t="s">
        <v>2756</v>
      </c>
      <c r="C192" s="5" t="str">
        <f>HYPERLINK("#'Json-dokumentation'!J844", "SIRData.Vårdtillfällen.Higgins.ECCtid")</f>
        <v>SIRData.Vårdtillfällen.Higgins.ECCtid</v>
      </c>
      <c r="D192" s="13" t="s">
        <v>2755</v>
      </c>
      <c r="E192" s="6"/>
    </row>
    <row r="193" spans="2:5" ht="120" x14ac:dyDescent="0.35">
      <c r="B193" s="10" t="s">
        <v>2757</v>
      </c>
      <c r="C193" s="5" t="str">
        <f>HYPERLINK("#'Json-dokumentation'!J850", "SIRData.Vårdtillfällen.Higgins.Ballongpump")</f>
        <v>SIRData.Vårdtillfällen.Higgins.Ballongpump</v>
      </c>
      <c r="D193" s="13" t="s">
        <v>2758</v>
      </c>
      <c r="E193" s="6"/>
    </row>
    <row r="194" spans="2:5" ht="120" x14ac:dyDescent="0.35">
      <c r="B194" s="10" t="s">
        <v>2759</v>
      </c>
      <c r="C194" s="5" t="str">
        <f>HYPERLINK("#'Json-dokumentation'!J850", "SIRData.Vårdtillfällen.Higgins.Ballongpump")</f>
        <v>SIRData.Vårdtillfällen.Higgins.Ballongpump</v>
      </c>
      <c r="D194" s="13" t="s">
        <v>2758</v>
      </c>
      <c r="E194" s="6"/>
    </row>
    <row r="195" spans="2:5" ht="120" x14ac:dyDescent="0.35">
      <c r="B195" s="10" t="s">
        <v>2760</v>
      </c>
      <c r="C195" s="5" t="str">
        <f>HYPERLINK("#'Json-dokumentation'!J855", "SIRData.Vårdtillfällen.Higgins.Inandningsoxygen")</f>
        <v>SIRData.Vårdtillfällen.Higgins.Inandningsoxygen</v>
      </c>
      <c r="D195" s="13" t="s">
        <v>2761</v>
      </c>
      <c r="E195" s="6"/>
    </row>
    <row r="196" spans="2:5" ht="120" x14ac:dyDescent="0.35">
      <c r="B196" s="10" t="s">
        <v>2762</v>
      </c>
      <c r="C196" s="5" t="str">
        <f>HYPERLINK("#'Json-dokumentation'!J855", "SIRData.Vårdtillfällen.Higgins.Inandningsoxygen")</f>
        <v>SIRData.Vårdtillfällen.Higgins.Inandningsoxygen</v>
      </c>
      <c r="D196" s="13" t="s">
        <v>2761</v>
      </c>
      <c r="E196" s="6"/>
    </row>
    <row r="197" spans="2:5" ht="120" x14ac:dyDescent="0.35">
      <c r="B197" s="10" t="s">
        <v>2763</v>
      </c>
      <c r="C197" s="5" t="str">
        <f>HYPERLINK("#'Json-dokumentation'!J861", "SIRData.Vårdtillfällen.Higgins.ArtPCO2")</f>
        <v>SIRData.Vårdtillfällen.Higgins.ArtPCO2</v>
      </c>
      <c r="D197" s="13" t="s">
        <v>2764</v>
      </c>
      <c r="E197" s="6"/>
    </row>
    <row r="198" spans="2:5" ht="120" x14ac:dyDescent="0.35">
      <c r="B198" s="10" t="s">
        <v>2765</v>
      </c>
      <c r="C198" s="5" t="str">
        <f>HYPERLINK("#'Json-dokumentation'!J861", "SIRData.Vårdtillfällen.Higgins.ArtPCO2")</f>
        <v>SIRData.Vårdtillfällen.Higgins.ArtPCO2</v>
      </c>
      <c r="D198" s="13" t="s">
        <v>2764</v>
      </c>
      <c r="E198" s="6"/>
    </row>
    <row r="199" spans="2:5" ht="120" x14ac:dyDescent="0.35">
      <c r="B199" s="10" t="s">
        <v>2766</v>
      </c>
      <c r="C199" s="5" t="str">
        <f>HYPERLINK("#'Json-dokumentation'!J867", "SIRData.Vårdtillfällen.Higgins.ArtPO2")</f>
        <v>SIRData.Vårdtillfällen.Higgins.ArtPO2</v>
      </c>
      <c r="D199" s="13" t="s">
        <v>2767</v>
      </c>
      <c r="E199" s="6"/>
    </row>
    <row r="200" spans="2:5" ht="120" x14ac:dyDescent="0.35">
      <c r="B200" s="10" t="s">
        <v>2768</v>
      </c>
      <c r="C200" s="5" t="str">
        <f>HYPERLINK("#'Json-dokumentation'!J867", "SIRData.Vårdtillfällen.Higgins.ArtPO2")</f>
        <v>SIRData.Vårdtillfällen.Higgins.ArtPO2</v>
      </c>
      <c r="D200" s="13" t="s">
        <v>2767</v>
      </c>
      <c r="E200" s="6"/>
    </row>
    <row r="201" spans="2:5" ht="120" x14ac:dyDescent="0.35">
      <c r="B201" s="10" t="s">
        <v>2769</v>
      </c>
      <c r="C201" s="5" t="str">
        <f>HYPERLINK("#'Json-dokumentation'!J873", "SIRData.Vårdtillfällen.Higgins.ArtO2")</f>
        <v>SIRData.Vårdtillfällen.Higgins.ArtO2</v>
      </c>
      <c r="D201" s="13" t="s">
        <v>2770</v>
      </c>
      <c r="E201" s="6"/>
    </row>
    <row r="202" spans="2:5" ht="120" x14ac:dyDescent="0.35">
      <c r="B202" s="10" t="s">
        <v>2771</v>
      </c>
      <c r="C202" s="5" t="str">
        <f>HYPERLINK("#'Json-dokumentation'!J873", "SIRData.Vårdtillfällen.Higgins.ArtO2")</f>
        <v>SIRData.Vårdtillfällen.Higgins.ArtO2</v>
      </c>
      <c r="D202" s="13" t="s">
        <v>2770</v>
      </c>
      <c r="E202" s="6"/>
    </row>
    <row r="203" spans="2:5" ht="120" x14ac:dyDescent="0.35">
      <c r="B203" s="10" t="s">
        <v>2772</v>
      </c>
      <c r="C203" s="5" t="str">
        <f>HYPERLINK("#'Json-dokumentation'!J892", "SIRData.Vårdtillfällen.Higgins.Hjärtfrekvens")</f>
        <v>SIRData.Vårdtillfällen.Higgins.Hjärtfrekvens</v>
      </c>
      <c r="D203" s="13" t="s">
        <v>2773</v>
      </c>
      <c r="E203" s="6"/>
    </row>
    <row r="204" spans="2:5" ht="120" x14ac:dyDescent="0.35">
      <c r="B204" s="10" t="s">
        <v>2774</v>
      </c>
      <c r="C204" s="5" t="str">
        <f>HYPERLINK("#'Json-dokumentation'!J892", "SIRData.Vårdtillfällen.Higgins.Hjärtfrekvens")</f>
        <v>SIRData.Vårdtillfällen.Higgins.Hjärtfrekvens</v>
      </c>
      <c r="D204" s="13" t="s">
        <v>2773</v>
      </c>
      <c r="E204" s="6"/>
    </row>
    <row r="205" spans="2:5" ht="120" x14ac:dyDescent="0.35">
      <c r="B205" s="10" t="s">
        <v>2775</v>
      </c>
      <c r="C205" s="5" t="str">
        <f>HYPERLINK("#'Json-dokumentation'!J898", "SIRData.Vårdtillfällen.Higgins.CVP")</f>
        <v>SIRData.Vårdtillfällen.Higgins.CVP</v>
      </c>
      <c r="D205" s="13" t="s">
        <v>2776</v>
      </c>
      <c r="E205" s="6"/>
    </row>
    <row r="206" spans="2:5" ht="120" x14ac:dyDescent="0.35">
      <c r="B206" s="10" t="s">
        <v>2777</v>
      </c>
      <c r="C206" s="5" t="str">
        <f>HYPERLINK("#'Json-dokumentation'!J898", "SIRData.Vårdtillfällen.Higgins.CVP")</f>
        <v>SIRData.Vårdtillfällen.Higgins.CVP</v>
      </c>
      <c r="D206" s="13" t="s">
        <v>2776</v>
      </c>
      <c r="E206" s="6"/>
    </row>
    <row r="207" spans="2:5" ht="120" x14ac:dyDescent="0.35">
      <c r="B207" s="10" t="s">
        <v>2778</v>
      </c>
      <c r="C207" s="5" t="str">
        <f>HYPERLINK("#'Json-dokumentation'!J904", "SIRData.Vårdtillfällen.Higgins.BasÖverskott")</f>
        <v>SIRData.Vårdtillfällen.Higgins.BasÖverskott</v>
      </c>
      <c r="D207" s="13" t="s">
        <v>2779</v>
      </c>
      <c r="E207" s="6"/>
    </row>
    <row r="208" spans="2:5" ht="120" x14ac:dyDescent="0.35">
      <c r="B208" s="10" t="s">
        <v>2780</v>
      </c>
      <c r="C208" s="5" t="str">
        <f>HYPERLINK("#'Json-dokumentation'!J904", "SIRData.Vårdtillfällen.Higgins.BasÖverskott")</f>
        <v>SIRData.Vårdtillfällen.Higgins.BasÖverskott</v>
      </c>
      <c r="D208" s="13" t="s">
        <v>2779</v>
      </c>
      <c r="E208" s="6"/>
    </row>
    <row r="209" spans="2:5" ht="90" x14ac:dyDescent="0.35">
      <c r="B209" s="10" t="s">
        <v>2781</v>
      </c>
      <c r="C209" s="5" t="str">
        <f>HYPERLINK("#'Json-dokumentation'!J910", "SIRData.Vårdtillfällen.Higgins.AktiveradTEDA")</f>
        <v>SIRData.Vårdtillfällen.Higgins.AktiveradTEDA</v>
      </c>
      <c r="D209" s="13" t="s">
        <v>2782</v>
      </c>
      <c r="E209" s="6"/>
    </row>
    <row r="210" spans="2:5" ht="90" x14ac:dyDescent="0.35">
      <c r="B210" s="10" t="s">
        <v>2783</v>
      </c>
      <c r="C210" s="5" t="str">
        <f>HYPERLINK("#'Json-dokumentation'!J910", "SIRData.Vårdtillfällen.Higgins.AktiveradTEDA")</f>
        <v>SIRData.Vårdtillfällen.Higgins.AktiveradTEDA</v>
      </c>
      <c r="D210" s="13" t="s">
        <v>2782</v>
      </c>
      <c r="E210" s="6"/>
    </row>
    <row r="211" spans="2:5" ht="90" x14ac:dyDescent="0.35">
      <c r="B211" s="10" t="s">
        <v>2784</v>
      </c>
      <c r="C211" s="5" t="str">
        <f>HYPERLINK("#'Json-dokumentation'!J915", "SIRData.Vårdtillfällen.Higgins.IntuberadVidAnkomst")</f>
        <v>SIRData.Vårdtillfällen.Higgins.IntuberadVidAnkomst</v>
      </c>
      <c r="D211" s="13" t="s">
        <v>2785</v>
      </c>
      <c r="E211" s="6"/>
    </row>
    <row r="212" spans="2:5" ht="90" x14ac:dyDescent="0.35">
      <c r="B212" s="10" t="s">
        <v>2786</v>
      </c>
      <c r="C212" s="5" t="str">
        <f>HYPERLINK("#'Json-dokumentation'!J915", "SIRData.Vårdtillfällen.Higgins.IntuberadVidAnkomst")</f>
        <v>SIRData.Vårdtillfällen.Higgins.IntuberadVidAnkomst</v>
      </c>
      <c r="D212" s="13" t="s">
        <v>2785</v>
      </c>
      <c r="E212" s="6"/>
    </row>
    <row r="213" spans="2:5" ht="90" x14ac:dyDescent="0.35">
      <c r="B213" s="10" t="s">
        <v>2787</v>
      </c>
      <c r="C213" s="5" t="str">
        <f>HYPERLINK("#'Json-dokumentation'!J920", "SIRData.Vårdtillfällen.Higgins.AortaTångtid")</f>
        <v>SIRData.Vårdtillfällen.Higgins.AortaTångtid</v>
      </c>
      <c r="D213" s="13" t="s">
        <v>2788</v>
      </c>
      <c r="E213" s="6"/>
    </row>
    <row r="214" spans="2:5" ht="90" x14ac:dyDescent="0.35">
      <c r="B214" s="10" t="s">
        <v>2789</v>
      </c>
      <c r="C214" s="5" t="str">
        <f>HYPERLINK("#'Json-dokumentation'!J920", "SIRData.Vårdtillfällen.Higgins.AortaTångtid")</f>
        <v>SIRData.Vårdtillfällen.Higgins.AortaTångtid</v>
      </c>
      <c r="D214" s="13" t="s">
        <v>2788</v>
      </c>
      <c r="E214" s="6"/>
    </row>
    <row r="215" spans="2:5" ht="21" x14ac:dyDescent="0.35">
      <c r="B215" s="10" t="s">
        <v>2790</v>
      </c>
      <c r="C215" s="5" t="str">
        <f>HYPERLINK("#'Json-dokumentation'!J1981", "SIRData.Vårdtillfällen.Viktochlängd.Längd")</f>
        <v>SIRData.Vårdtillfällen.Viktochlängd.Längd</v>
      </c>
      <c r="D215" s="13" t="s">
        <v>2791</v>
      </c>
      <c r="E215" s="6"/>
    </row>
    <row r="216" spans="2:5" ht="30" x14ac:dyDescent="0.35">
      <c r="B216" s="11" t="s">
        <v>2792</v>
      </c>
      <c r="C216" s="8" t="str">
        <f>HYPERLINK("#'Json-dokumentation'!J1981", "SIRData.Vårdtillfällen.Viktochlängd.Längd")</f>
        <v>SIRData.Vårdtillfällen.Viktochlängd.Längd</v>
      </c>
      <c r="D216" s="14" t="s">
        <v>2793</v>
      </c>
      <c r="E216" s="6"/>
    </row>
    <row r="219" spans="2:5" ht="18.75" x14ac:dyDescent="0.25">
      <c r="B219" s="68" t="s">
        <v>2794</v>
      </c>
      <c r="C219" s="46"/>
      <c r="D219" s="4" t="s">
        <v>2795</v>
      </c>
    </row>
    <row r="220" spans="2:5" ht="21" x14ac:dyDescent="0.35">
      <c r="B220" s="9" t="s">
        <v>2796</v>
      </c>
      <c r="C220" s="7" t="str">
        <f>HYPERLINK("#'Json-dokumentation'!A7", "SIRData")</f>
        <v>SIRData</v>
      </c>
      <c r="D220" s="12" t="s">
        <v>2425</v>
      </c>
      <c r="E220" s="6"/>
    </row>
    <row r="221" spans="2:5" ht="30" x14ac:dyDescent="0.35">
      <c r="B221" s="11" t="s">
        <v>2797</v>
      </c>
      <c r="C221" s="8" t="str">
        <f>HYPERLINK("#'Json-dokumentation'!J1894", "SIRData.Vårdtillfällen.Avliden2024.VarförGenomfördesInteDCD.OlämpligSomDCDdonatorMedicinskaSkäl")</f>
        <v>SIRData.Vårdtillfällen.Avliden2024.VarförGenomfördesInteDCD.OlämpligSomDCDdonatorMedicinskaSkäl</v>
      </c>
      <c r="D221" s="14" t="s">
        <v>2798</v>
      </c>
      <c r="E221" s="6"/>
    </row>
    <row r="224" spans="2:5" ht="18.75" x14ac:dyDescent="0.25">
      <c r="B224" s="68" t="s">
        <v>2799</v>
      </c>
      <c r="C224" s="46"/>
      <c r="D224" s="4" t="s">
        <v>2800</v>
      </c>
    </row>
    <row r="225" spans="2:5" ht="21" x14ac:dyDescent="0.35">
      <c r="B225" s="9" t="s">
        <v>2801</v>
      </c>
      <c r="C225" s="7" t="str">
        <f>HYPERLINK("#'Json-dokumentation'!J212", "SIRData.Vårdtillfällen.Vårddata.Regel: '3.23'")</f>
        <v>SIRData.Vårdtillfällen.Vårddata.Regel: '3.23'</v>
      </c>
      <c r="D225" s="12" t="s">
        <v>2802</v>
      </c>
      <c r="E225" s="6"/>
    </row>
    <row r="226" spans="2:5" ht="21" x14ac:dyDescent="0.35">
      <c r="B226" s="11" t="s">
        <v>2803</v>
      </c>
      <c r="C226" s="8" t="str">
        <f>HYPERLINK("#'Json-dokumentation'!J61", "SIRData.Vårdtillfällen.Regel: '1.98'")</f>
        <v>SIRData.Vårdtillfällen.Regel: '1.98'</v>
      </c>
      <c r="D226" s="14" t="s">
        <v>2804</v>
      </c>
      <c r="E226" s="6"/>
    </row>
    <row r="229" spans="2:5" ht="18.75" x14ac:dyDescent="0.25">
      <c r="B229" s="68" t="s">
        <v>2805</v>
      </c>
      <c r="C229" s="46"/>
      <c r="D229" s="4" t="s">
        <v>2806</v>
      </c>
    </row>
    <row r="230" spans="2:5" ht="21" x14ac:dyDescent="0.35">
      <c r="B230" s="9" t="s">
        <v>2807</v>
      </c>
      <c r="C230" s="7" t="s">
        <v>2678</v>
      </c>
      <c r="D230" s="12" t="s">
        <v>2679</v>
      </c>
      <c r="E230" s="6"/>
    </row>
    <row r="231" spans="2:5" ht="21" x14ac:dyDescent="0.35">
      <c r="B231" s="10" t="s">
        <v>2808</v>
      </c>
      <c r="C231" s="5" t="s">
        <v>2681</v>
      </c>
      <c r="D231" s="13" t="s">
        <v>2682</v>
      </c>
      <c r="E231" s="6"/>
    </row>
    <row r="232" spans="2:5" ht="21" x14ac:dyDescent="0.35">
      <c r="B232" s="10" t="s">
        <v>2809</v>
      </c>
      <c r="C232" s="5" t="s">
        <v>2684</v>
      </c>
      <c r="D232" s="13" t="s">
        <v>2810</v>
      </c>
      <c r="E232" s="6"/>
    </row>
    <row r="233" spans="2:5" ht="21" x14ac:dyDescent="0.35">
      <c r="B233" s="10" t="s">
        <v>2811</v>
      </c>
      <c r="C233" s="5" t="s">
        <v>2687</v>
      </c>
      <c r="D233" s="13" t="s">
        <v>2812</v>
      </c>
      <c r="E233" s="6"/>
    </row>
    <row r="234" spans="2:5" ht="21" x14ac:dyDescent="0.35">
      <c r="B234" s="10" t="s">
        <v>2813</v>
      </c>
      <c r="C234" s="5" t="s">
        <v>2422</v>
      </c>
      <c r="D234" s="13" t="s">
        <v>2423</v>
      </c>
      <c r="E234" s="6"/>
    </row>
    <row r="235" spans="2:5" ht="21" x14ac:dyDescent="0.35">
      <c r="B235" s="10" t="s">
        <v>2814</v>
      </c>
      <c r="C235" s="5" t="s">
        <v>2691</v>
      </c>
      <c r="D235" s="13" t="s">
        <v>2692</v>
      </c>
      <c r="E235" s="6"/>
    </row>
    <row r="236" spans="2:5" ht="21" x14ac:dyDescent="0.35">
      <c r="B236" s="10" t="s">
        <v>2815</v>
      </c>
      <c r="C236" s="5" t="str">
        <f>HYPERLINK("#'Json-dokumentation'!A7", "SIRData")</f>
        <v>SIRData</v>
      </c>
      <c r="D236" s="13" t="s">
        <v>2425</v>
      </c>
      <c r="E236" s="6"/>
    </row>
    <row r="237" spans="2:5" ht="165" x14ac:dyDescent="0.35">
      <c r="B237" s="10" t="s">
        <v>2816</v>
      </c>
      <c r="C237" s="5" t="str">
        <f>HYPERLINK("#'Json-dokumentation'!J207", "SIRData.Vårdtillfällen.Persondata.Regel: '2.10'")</f>
        <v>SIRData.Vårdtillfällen.Persondata.Regel: '2.10'</v>
      </c>
      <c r="D237" s="13" t="s">
        <v>2817</v>
      </c>
      <c r="E237" s="6"/>
    </row>
    <row r="238" spans="2:5" ht="21" x14ac:dyDescent="0.35">
      <c r="B238" s="10" t="s">
        <v>2818</v>
      </c>
      <c r="C238" s="5" t="str">
        <f>HYPERLINK("#'Json-dokumentation'!J225", "SIRData.Vårdtillfällen.Vårddata")</f>
        <v>SIRData.Vårdtillfällen.Vårddata</v>
      </c>
      <c r="D238" s="13" t="s">
        <v>2819</v>
      </c>
      <c r="E238" s="6"/>
    </row>
    <row r="239" spans="2:5" ht="105" x14ac:dyDescent="0.35">
      <c r="B239" s="10" t="s">
        <v>2820</v>
      </c>
      <c r="C239" s="5" t="str">
        <f>HYPERLINK("#'Json-dokumentation'!J370", "SIRData.Vårdtillfällen.Vårddata.Regel: '3.02'")</f>
        <v>SIRData.Vårdtillfällen.Vårddata.Regel: '3.02'</v>
      </c>
      <c r="D239" s="13" t="s">
        <v>2821</v>
      </c>
      <c r="E239" s="6"/>
    </row>
    <row r="240" spans="2:5" ht="135" x14ac:dyDescent="0.35">
      <c r="B240" s="10" t="s">
        <v>2822</v>
      </c>
      <c r="C240" s="5" t="str">
        <f>HYPERLINK("#'Json-dokumentation'!J377", "SIRData.Vårdtillfällen.Vårddata.Regel: '3.09'")</f>
        <v>SIRData.Vårdtillfällen.Vårddata.Regel: '3.09'</v>
      </c>
      <c r="D240" s="13" t="s">
        <v>2823</v>
      </c>
      <c r="E240" s="6"/>
    </row>
    <row r="241" spans="2:5" ht="105" x14ac:dyDescent="0.35">
      <c r="B241" s="10" t="s">
        <v>2824</v>
      </c>
      <c r="C241" s="5" t="str">
        <f>HYPERLINK("#'Json-dokumentation'!J381", "SIRData.Vårdtillfällen.Vårddata.Regel: '3.13'")</f>
        <v>SIRData.Vårdtillfällen.Vårddata.Regel: '3.13'</v>
      </c>
      <c r="D241" s="13" t="s">
        <v>2825</v>
      </c>
      <c r="E241" s="6"/>
    </row>
    <row r="242" spans="2:5" ht="105" x14ac:dyDescent="0.35">
      <c r="B242" s="10" t="s">
        <v>2826</v>
      </c>
      <c r="C242" s="5" t="str">
        <f>HYPERLINK("#'Json-dokumentation'!J382", "SIRData.Vårdtillfällen.Vårddata.Regel: '3.14'")</f>
        <v>SIRData.Vårdtillfällen.Vårddata.Regel: '3.14'</v>
      </c>
      <c r="D242" s="13" t="s">
        <v>2827</v>
      </c>
      <c r="E242" s="6"/>
    </row>
    <row r="243" spans="2:5" ht="105" x14ac:dyDescent="0.35">
      <c r="B243" s="10" t="s">
        <v>2828</v>
      </c>
      <c r="C243" s="5" t="str">
        <f>HYPERLINK("#'Json-dokumentation'!J384", "SIRData.Vårdtillfällen.Vårddata.Regel: '3.16'")</f>
        <v>SIRData.Vårdtillfällen.Vårddata.Regel: '3.16'</v>
      </c>
      <c r="D243" s="13" t="s">
        <v>2829</v>
      </c>
      <c r="E243" s="6"/>
    </row>
    <row r="244" spans="2:5" ht="105" x14ac:dyDescent="0.35">
      <c r="B244" s="10" t="s">
        <v>2830</v>
      </c>
      <c r="C244" s="5" t="str">
        <f>HYPERLINK("#'Json-dokumentation'!J387", "SIRData.Vårdtillfällen.Vårddata.Regel: '3.19'")</f>
        <v>SIRData.Vårdtillfällen.Vårddata.Regel: '3.19'</v>
      </c>
      <c r="D244" s="13" t="s">
        <v>2831</v>
      </c>
      <c r="E244" s="6"/>
    </row>
    <row r="245" spans="2:5" ht="21" x14ac:dyDescent="0.35">
      <c r="B245" s="10" t="s">
        <v>2832</v>
      </c>
      <c r="C245" s="5" t="str">
        <f>HYPERLINK("#'Json-dokumentation'!J212", "SIRData.Vårdtillfällen.Vårddata.Regel: '3.22'")</f>
        <v>SIRData.Vårdtillfällen.Vårddata.Regel: '3.22'</v>
      </c>
      <c r="D245" s="13" t="s">
        <v>2833</v>
      </c>
      <c r="E245" s="6"/>
    </row>
    <row r="246" spans="2:5" ht="75" x14ac:dyDescent="0.35">
      <c r="B246" s="10" t="s">
        <v>2834</v>
      </c>
      <c r="C246" s="5" t="str">
        <f>HYPERLINK("#'Json-dokumentation'!J415", "SIRData.Vårdtillfällen.PreOperationer.Regel: '5.03'")</f>
        <v>SIRData.Vårdtillfällen.PreOperationer.Regel: '5.03'</v>
      </c>
      <c r="D246" s="13" t="s">
        <v>2835</v>
      </c>
      <c r="E246" s="6"/>
    </row>
    <row r="247" spans="2:5" ht="135" x14ac:dyDescent="0.35">
      <c r="B247" s="10" t="s">
        <v>2836</v>
      </c>
      <c r="C247" s="5" t="str">
        <f>HYPERLINK("#'Json-dokumentation'!J928", "SIRData.Vårdtillfällen.Higgins.Regel: '11.02'")</f>
        <v>SIRData.Vårdtillfällen.Higgins.Regel: '11.02'</v>
      </c>
      <c r="D247" s="13" t="s">
        <v>2837</v>
      </c>
      <c r="E247" s="6"/>
    </row>
    <row r="248" spans="2:5" ht="105" x14ac:dyDescent="0.35">
      <c r="B248" s="10" t="s">
        <v>2838</v>
      </c>
      <c r="C248" s="5" t="str">
        <f>HYPERLINK("#'Json-dokumentation'!J957", "SIRData.Vårdtillfällen.ClinicalFrailtyScale.Regel: '4.02'")</f>
        <v>SIRData.Vårdtillfällen.ClinicalFrailtyScale.Regel: '4.02'</v>
      </c>
      <c r="D248" s="13" t="s">
        <v>2839</v>
      </c>
      <c r="E248" s="6"/>
    </row>
    <row r="249" spans="2:5" ht="105" x14ac:dyDescent="0.35">
      <c r="B249" s="10" t="s">
        <v>2840</v>
      </c>
      <c r="C249" s="5" t="str">
        <f>HYPERLINK("#'Json-dokumentation'!J1204", "SIRData.Vårdtillfällen.DagligSOFA.Datum")</f>
        <v>SIRData.Vårdtillfällen.DagligSOFA.Datum</v>
      </c>
      <c r="D249" s="13" t="s">
        <v>2841</v>
      </c>
      <c r="E249" s="6"/>
    </row>
    <row r="250" spans="2:5" ht="105" x14ac:dyDescent="0.35">
      <c r="B250" s="10" t="s">
        <v>2842</v>
      </c>
      <c r="C250" s="5" t="str">
        <f>HYPERLINK("#'Json-dokumentation'!J1204", "SIRData.Vårdtillfällen.DagligSOFA.Datum")</f>
        <v>SIRData.Vårdtillfällen.DagligSOFA.Datum</v>
      </c>
      <c r="D250" s="13" t="s">
        <v>2841</v>
      </c>
      <c r="E250" s="6"/>
    </row>
    <row r="251" spans="2:5" ht="105" x14ac:dyDescent="0.35">
      <c r="B251" s="10" t="s">
        <v>2843</v>
      </c>
      <c r="C251" s="5" t="str">
        <f>HYPERLINK("#'Json-dokumentation'!J1373", "SIRData.Vårdtillfällen.DagligSOFA.Regel: '30.07'")</f>
        <v>SIRData.Vårdtillfällen.DagligSOFA.Regel: '30.07'</v>
      </c>
      <c r="D251" s="13" t="s">
        <v>2844</v>
      </c>
      <c r="E251" s="6"/>
    </row>
    <row r="252" spans="2:5" ht="135" x14ac:dyDescent="0.35">
      <c r="B252" s="10" t="s">
        <v>2845</v>
      </c>
      <c r="C252" s="5" t="str">
        <f>HYPERLINK("#'Json-dokumentation'!J2039", "SIRData.Vårdtillfällen.Komplikationer2012.Regel: '19.03'")</f>
        <v>SIRData.Vårdtillfällen.Komplikationer2012.Regel: '19.03'</v>
      </c>
      <c r="D252" s="13" t="s">
        <v>2846</v>
      </c>
      <c r="E252" s="6"/>
    </row>
    <row r="253" spans="2:5" ht="165" x14ac:dyDescent="0.35">
      <c r="B253" s="10" t="s">
        <v>2847</v>
      </c>
      <c r="C253" s="5" t="str">
        <f>HYPERLINK("#'Json-dokumentation'!J2040", "SIRData.Vårdtillfällen.Komplikationer2012.Regel: '19.04'")</f>
        <v>SIRData.Vårdtillfällen.Komplikationer2012.Regel: '19.04'</v>
      </c>
      <c r="D253" s="13" t="s">
        <v>2848</v>
      </c>
      <c r="E253" s="6"/>
    </row>
    <row r="254" spans="2:5" ht="195" x14ac:dyDescent="0.35">
      <c r="B254" s="10" t="s">
        <v>2849</v>
      </c>
      <c r="C254" s="5" t="str">
        <f>HYPERLINK("#'Json-dokumentation'!J2041", "SIRData.Vårdtillfällen.Komplikationer2012.Regel: '19.05'")</f>
        <v>SIRData.Vårdtillfällen.Komplikationer2012.Regel: '19.05'</v>
      </c>
      <c r="D254" s="13" t="s">
        <v>2850</v>
      </c>
      <c r="E254" s="6"/>
    </row>
    <row r="255" spans="2:5" ht="135" x14ac:dyDescent="0.35">
      <c r="B255" s="10" t="s">
        <v>2851</v>
      </c>
      <c r="C255" s="5" t="str">
        <f>HYPERLINK("#'Json-dokumentation'!J2042", "SIRData.Vårdtillfällen.Komplikationer2012.Regel: '19.06'")</f>
        <v>SIRData.Vårdtillfällen.Komplikationer2012.Regel: '19.06'</v>
      </c>
      <c r="D255" s="13" t="s">
        <v>2852</v>
      </c>
      <c r="E255" s="6"/>
    </row>
    <row r="256" spans="2:5" ht="285" x14ac:dyDescent="0.35">
      <c r="B256" s="10" t="s">
        <v>2853</v>
      </c>
      <c r="C256" s="5" t="str">
        <f>HYPERLINK("#'Json-dokumentation'!J2140", "SIRData.Vårdtillfällen.VTS5.Regel: '20.04'")</f>
        <v>SIRData.Vårdtillfällen.VTS5.Regel: '20.04'</v>
      </c>
      <c r="D256" s="13" t="s">
        <v>2854</v>
      </c>
      <c r="E256" s="6"/>
    </row>
    <row r="257" spans="2:5" ht="285" x14ac:dyDescent="0.35">
      <c r="B257" s="10" t="s">
        <v>2855</v>
      </c>
      <c r="C257" s="5" t="str">
        <f>HYPERLINK("#'Json-dokumentation'!J2232", "SIRData.Vårdtillfällen.VTS2014.Regel: '21.04'")</f>
        <v>SIRData.Vårdtillfällen.VTS2014.Regel: '21.04'</v>
      </c>
      <c r="D257" s="13" t="s">
        <v>2856</v>
      </c>
      <c r="E257" s="6"/>
    </row>
    <row r="258" spans="2:5" ht="75" x14ac:dyDescent="0.35">
      <c r="B258" s="10" t="s">
        <v>2857</v>
      </c>
      <c r="C258" s="5" t="str">
        <f>HYPERLINK("#'Json-dokumentation'!J2293", "SIRData.Vårdtillfällen.NEMS.Regel: '22.03'")</f>
        <v>SIRData.Vårdtillfällen.NEMS.Regel: '22.03'</v>
      </c>
      <c r="D258" s="13" t="s">
        <v>2858</v>
      </c>
      <c r="E258" s="6"/>
    </row>
    <row r="259" spans="2:5" ht="405" x14ac:dyDescent="0.35">
      <c r="B259" s="10" t="s">
        <v>2859</v>
      </c>
      <c r="C259" s="5" t="str">
        <f>HYPERLINK("#'Json-dokumentation'!J2336", "SIRData.Vårdtillfällen.Åtgärder.Regel: '23.06'")</f>
        <v>SIRData.Vårdtillfällen.Åtgärder.Regel: '23.06'</v>
      </c>
      <c r="D259" s="13" t="s">
        <v>2860</v>
      </c>
      <c r="E259" s="6"/>
    </row>
    <row r="260" spans="2:5" ht="195" x14ac:dyDescent="0.35">
      <c r="B260" s="10" t="s">
        <v>2861</v>
      </c>
      <c r="C260" s="5" t="str">
        <f>HYPERLINK("#'Json-dokumentation'!J2360", "SIRData.Vårdtillfällen.Diagnoser.Regel: '24.02'")</f>
        <v>SIRData.Vårdtillfällen.Diagnoser.Regel: '24.02'</v>
      </c>
      <c r="D260" s="13" t="s">
        <v>2862</v>
      </c>
      <c r="E260" s="6"/>
    </row>
    <row r="261" spans="2:5" ht="60" x14ac:dyDescent="0.35">
      <c r="B261" s="10" t="s">
        <v>2863</v>
      </c>
      <c r="C261" s="5" t="str">
        <f>HYPERLINK("#'Json-dokumentation'!J2443", "SIRData.Vårdtillfällen.OmvårdnadSmärta.Datum")</f>
        <v>SIRData.Vårdtillfällen.OmvårdnadSmärta.Datum</v>
      </c>
      <c r="D261" s="13" t="s">
        <v>2864</v>
      </c>
      <c r="E261" s="6"/>
    </row>
    <row r="262" spans="2:5" ht="60" x14ac:dyDescent="0.35">
      <c r="B262" s="10" t="s">
        <v>2865</v>
      </c>
      <c r="C262" s="5" t="str">
        <f>HYPERLINK("#'Json-dokumentation'!J2443", "SIRData.Vårdtillfällen.OmvårdnadSmärta.Datum")</f>
        <v>SIRData.Vårdtillfällen.OmvårdnadSmärta.Datum</v>
      </c>
      <c r="D262" s="13" t="s">
        <v>2864</v>
      </c>
      <c r="E262" s="6"/>
    </row>
    <row r="263" spans="2:5" ht="60" x14ac:dyDescent="0.35">
      <c r="B263" s="10" t="s">
        <v>2866</v>
      </c>
      <c r="C263" s="5" t="str">
        <f>HYPERLINK("#'Json-dokumentation'!J2447", "SIRData.Vårdtillfällen.OmvårdnadSmärta.Pass")</f>
        <v>SIRData.Vårdtillfällen.OmvårdnadSmärta.Pass</v>
      </c>
      <c r="D263" s="13" t="s">
        <v>2867</v>
      </c>
      <c r="E263" s="6"/>
    </row>
    <row r="264" spans="2:5" ht="60" x14ac:dyDescent="0.35">
      <c r="B264" s="10" t="s">
        <v>2868</v>
      </c>
      <c r="C264" s="5" t="str">
        <f>HYPERLINK("#'Json-dokumentation'!J2447", "SIRData.Vårdtillfällen.OmvårdnadSmärta.Pass")</f>
        <v>SIRData.Vårdtillfällen.OmvårdnadSmärta.Pass</v>
      </c>
      <c r="D264" s="13" t="s">
        <v>2867</v>
      </c>
      <c r="E264" s="6"/>
    </row>
    <row r="265" spans="2:5" ht="60" x14ac:dyDescent="0.35">
      <c r="B265" s="10" t="s">
        <v>2869</v>
      </c>
      <c r="C265" s="5" t="str">
        <f>HYPERLINK("#'Json-dokumentation'!J2584", "SIRData.Vårdtillfällen.OmvårdnadSedering.Datum")</f>
        <v>SIRData.Vårdtillfällen.OmvårdnadSedering.Datum</v>
      </c>
      <c r="D265" s="13" t="s">
        <v>2864</v>
      </c>
      <c r="E265" s="6"/>
    </row>
    <row r="266" spans="2:5" ht="60" x14ac:dyDescent="0.35">
      <c r="B266" s="10" t="s">
        <v>2870</v>
      </c>
      <c r="C266" s="5" t="str">
        <f>HYPERLINK("#'Json-dokumentation'!J2584", "SIRData.Vårdtillfällen.OmvårdnadSedering.Datum")</f>
        <v>SIRData.Vårdtillfällen.OmvårdnadSedering.Datum</v>
      </c>
      <c r="D266" s="13" t="s">
        <v>2864</v>
      </c>
      <c r="E266" s="6"/>
    </row>
    <row r="267" spans="2:5" ht="60" x14ac:dyDescent="0.35">
      <c r="B267" s="10" t="s">
        <v>2871</v>
      </c>
      <c r="C267" s="5" t="str">
        <f>HYPERLINK("#'Json-dokumentation'!J2588", "SIRData.Vårdtillfällen.OmvårdnadSedering.Pass")</f>
        <v>SIRData.Vårdtillfällen.OmvårdnadSedering.Pass</v>
      </c>
      <c r="D267" s="13" t="s">
        <v>2867</v>
      </c>
      <c r="E267" s="6"/>
    </row>
    <row r="268" spans="2:5" ht="60" x14ac:dyDescent="0.35">
      <c r="B268" s="10" t="s">
        <v>2872</v>
      </c>
      <c r="C268" s="5" t="str">
        <f>HYPERLINK("#'Json-dokumentation'!J2588", "SIRData.Vårdtillfällen.OmvårdnadSedering.Pass")</f>
        <v>SIRData.Vårdtillfällen.OmvårdnadSedering.Pass</v>
      </c>
      <c r="D268" s="13" t="s">
        <v>2867</v>
      </c>
      <c r="E268" s="6"/>
    </row>
    <row r="269" spans="2:5" ht="60" x14ac:dyDescent="0.35">
      <c r="B269" s="10" t="s">
        <v>2873</v>
      </c>
      <c r="C269" s="5" t="str">
        <f>HYPERLINK("#'Json-dokumentation'!J2673", "SIRData.Vårdtillfällen.OmvårdnadDelirium.Datum")</f>
        <v>SIRData.Vårdtillfällen.OmvårdnadDelirium.Datum</v>
      </c>
      <c r="D269" s="13" t="s">
        <v>2864</v>
      </c>
      <c r="E269" s="6"/>
    </row>
    <row r="270" spans="2:5" ht="60" x14ac:dyDescent="0.35">
      <c r="B270" s="10" t="s">
        <v>2874</v>
      </c>
      <c r="C270" s="5" t="str">
        <f>HYPERLINK("#'Json-dokumentation'!J2673", "SIRData.Vårdtillfällen.OmvårdnadDelirium.Datum")</f>
        <v>SIRData.Vårdtillfällen.OmvårdnadDelirium.Datum</v>
      </c>
      <c r="D270" s="13" t="s">
        <v>2864</v>
      </c>
      <c r="E270" s="6"/>
    </row>
    <row r="271" spans="2:5" ht="60" x14ac:dyDescent="0.35">
      <c r="B271" s="10" t="s">
        <v>2875</v>
      </c>
      <c r="C271" s="5" t="str">
        <f>HYPERLINK("#'Json-dokumentation'!J2677", "SIRData.Vårdtillfällen.OmvårdnadDelirium.Pass")</f>
        <v>SIRData.Vårdtillfällen.OmvårdnadDelirium.Pass</v>
      </c>
      <c r="D271" s="13" t="s">
        <v>2867</v>
      </c>
      <c r="E271" s="6"/>
    </row>
    <row r="272" spans="2:5" ht="60" x14ac:dyDescent="0.35">
      <c r="B272" s="11" t="s">
        <v>2876</v>
      </c>
      <c r="C272" s="8" t="str">
        <f>HYPERLINK("#'Json-dokumentation'!J2677", "SIRData.Vårdtillfällen.OmvårdnadDelirium.Pass")</f>
        <v>SIRData.Vårdtillfällen.OmvårdnadDelirium.Pass</v>
      </c>
      <c r="D272" s="14" t="s">
        <v>2867</v>
      </c>
      <c r="E272" s="6"/>
    </row>
    <row r="275" spans="2:5" ht="18.75" x14ac:dyDescent="0.25">
      <c r="B275" s="68" t="s">
        <v>2877</v>
      </c>
      <c r="C275" s="46"/>
      <c r="D275" s="4" t="s">
        <v>2878</v>
      </c>
    </row>
    <row r="276" spans="2:5" ht="21" x14ac:dyDescent="0.35">
      <c r="B276" s="9" t="s">
        <v>2879</v>
      </c>
      <c r="C276" s="7" t="s">
        <v>2678</v>
      </c>
      <c r="D276" s="12" t="s">
        <v>2679</v>
      </c>
      <c r="E276" s="6"/>
    </row>
    <row r="277" spans="2:5" ht="21" x14ac:dyDescent="0.35">
      <c r="B277" s="10" t="s">
        <v>2880</v>
      </c>
      <c r="C277" s="5" t="s">
        <v>2681</v>
      </c>
      <c r="D277" s="13" t="s">
        <v>2682</v>
      </c>
      <c r="E277" s="6"/>
    </row>
    <row r="278" spans="2:5" ht="21" x14ac:dyDescent="0.35">
      <c r="B278" s="10" t="s">
        <v>2881</v>
      </c>
      <c r="C278" s="5" t="s">
        <v>2882</v>
      </c>
      <c r="D278" s="13" t="s">
        <v>2883</v>
      </c>
      <c r="E278" s="6"/>
    </row>
    <row r="279" spans="2:5" ht="21" x14ac:dyDescent="0.35">
      <c r="B279" s="10" t="s">
        <v>2884</v>
      </c>
      <c r="C279" s="5" t="s">
        <v>2684</v>
      </c>
      <c r="D279" s="13" t="s">
        <v>2810</v>
      </c>
      <c r="E279" s="6"/>
    </row>
    <row r="280" spans="2:5" ht="21" x14ac:dyDescent="0.35">
      <c r="B280" s="10" t="s">
        <v>2885</v>
      </c>
      <c r="C280" s="5" t="s">
        <v>2687</v>
      </c>
      <c r="D280" s="13" t="s">
        <v>2812</v>
      </c>
      <c r="E280" s="6"/>
    </row>
    <row r="281" spans="2:5" ht="21" x14ac:dyDescent="0.35">
      <c r="B281" s="10" t="s">
        <v>2886</v>
      </c>
      <c r="C281" s="5" t="s">
        <v>2422</v>
      </c>
      <c r="D281" s="13" t="s">
        <v>2423</v>
      </c>
      <c r="E281" s="6"/>
    </row>
    <row r="282" spans="2:5" ht="21" x14ac:dyDescent="0.35">
      <c r="B282" s="10" t="s">
        <v>2887</v>
      </c>
      <c r="C282" s="5" t="s">
        <v>2691</v>
      </c>
      <c r="D282" s="13" t="s">
        <v>2692</v>
      </c>
      <c r="E282" s="6"/>
    </row>
    <row r="283" spans="2:5" ht="21" x14ac:dyDescent="0.35">
      <c r="B283" s="10" t="s">
        <v>2888</v>
      </c>
      <c r="C283" s="5" t="str">
        <f>HYPERLINK("#'Json-dokumentation'!J1203", "SIRData.Vårdtillfällen.DagligSOFA.Regel: '30.09'")</f>
        <v>SIRData.Vårdtillfällen.DagligSOFA.Regel: '30.09'</v>
      </c>
      <c r="D283" s="13" t="s">
        <v>2889</v>
      </c>
      <c r="E283" s="6"/>
    </row>
    <row r="284" spans="2:5" ht="90" x14ac:dyDescent="0.35">
      <c r="B284" s="10" t="s">
        <v>2890</v>
      </c>
      <c r="C284" s="5" t="str">
        <f>HYPERLINK("#'Json-dokumentation'!J1947", "SIRData.Vårdtillfällen.Avliden2024.Regel: '31.04'")</f>
        <v>SIRData.Vårdtillfällen.Avliden2024.Regel: '31.04'</v>
      </c>
      <c r="D284" s="13" t="s">
        <v>2891</v>
      </c>
      <c r="E284" s="6"/>
    </row>
    <row r="285" spans="2:5" ht="105" x14ac:dyDescent="0.35">
      <c r="B285" s="10" t="s">
        <v>2892</v>
      </c>
      <c r="C285" s="5" t="str">
        <f>HYPERLINK("#'Json-dokumentation'!J1948", "SIRData.Vårdtillfällen.Avliden2024.Regel: '31.05'")</f>
        <v>SIRData.Vårdtillfällen.Avliden2024.Regel: '31.05'</v>
      </c>
      <c r="D285" s="13" t="s">
        <v>2893</v>
      </c>
      <c r="E285" s="6"/>
    </row>
    <row r="286" spans="2:5" ht="105" x14ac:dyDescent="0.35">
      <c r="B286" s="10" t="s">
        <v>2894</v>
      </c>
      <c r="C286" s="5" t="str">
        <f>HYPERLINK("#'Json-dokumentation'!J1949", "SIRData.Vårdtillfällen.Avliden2024.Regel: '31.06'")</f>
        <v>SIRData.Vårdtillfällen.Avliden2024.Regel: '31.06'</v>
      </c>
      <c r="D286" s="13" t="s">
        <v>2895</v>
      </c>
      <c r="E286" s="6"/>
    </row>
    <row r="287" spans="2:5" ht="105" x14ac:dyDescent="0.35">
      <c r="B287" s="10" t="s">
        <v>2896</v>
      </c>
      <c r="C287" s="5" t="str">
        <f>HYPERLINK("#'Json-dokumentation'!J1950", "SIRData.Vårdtillfällen.Avliden2024.Regel: '31.07'")</f>
        <v>SIRData.Vårdtillfällen.Avliden2024.Regel: '31.07'</v>
      </c>
      <c r="D287" s="13" t="s">
        <v>2897</v>
      </c>
      <c r="E287" s="6"/>
    </row>
    <row r="288" spans="2:5" ht="90" x14ac:dyDescent="0.35">
      <c r="B288" s="10" t="s">
        <v>2898</v>
      </c>
      <c r="C288" s="5" t="str">
        <f>HYPERLINK("#'Json-dokumentation'!J1951", "SIRData.Vårdtillfällen.Avliden2024.Regel: '31.08'")</f>
        <v>SIRData.Vårdtillfällen.Avliden2024.Regel: '31.08'</v>
      </c>
      <c r="D288" s="13" t="s">
        <v>2899</v>
      </c>
      <c r="E288" s="6"/>
    </row>
    <row r="289" spans="2:5" ht="90" x14ac:dyDescent="0.35">
      <c r="B289" s="10" t="s">
        <v>2900</v>
      </c>
      <c r="C289" s="5" t="str">
        <f>HYPERLINK("#'Json-dokumentation'!J1952", "SIRData.Vårdtillfällen.Avliden2024.Regel: '31.09'")</f>
        <v>SIRData.Vårdtillfällen.Avliden2024.Regel: '31.09'</v>
      </c>
      <c r="D289" s="13" t="s">
        <v>2901</v>
      </c>
      <c r="E289" s="6"/>
    </row>
    <row r="290" spans="2:5" ht="30" x14ac:dyDescent="0.35">
      <c r="B290" s="10" t="s">
        <v>2902</v>
      </c>
      <c r="C290" s="5" t="str">
        <f>HYPERLINK("#'Json-dokumentation'!J1755", "SIRData.Vårdtillfällen.Avliden2024.Regel: '31.10'")</f>
        <v>SIRData.Vårdtillfällen.Avliden2024.Regel: '31.10'</v>
      </c>
      <c r="D290" s="13" t="s">
        <v>2903</v>
      </c>
      <c r="E290" s="6"/>
    </row>
    <row r="291" spans="2:5" ht="30" x14ac:dyDescent="0.35">
      <c r="B291" s="10" t="s">
        <v>2904</v>
      </c>
      <c r="C291" s="5" t="str">
        <f>HYPERLINK("#'Json-dokumentation'!J1755", "SIRData.Vårdtillfällen.Avliden2024.Regel: '31.11'")</f>
        <v>SIRData.Vårdtillfällen.Avliden2024.Regel: '31.11'</v>
      </c>
      <c r="D291" s="13" t="s">
        <v>2905</v>
      </c>
      <c r="E291" s="6"/>
    </row>
    <row r="292" spans="2:5" ht="30" x14ac:dyDescent="0.35">
      <c r="B292" s="10" t="s">
        <v>2906</v>
      </c>
      <c r="C292" s="5" t="str">
        <f>HYPERLINK("#'Json-dokumentation'!J1755", "SIRData.Vårdtillfällen.Avliden2024.Regel: '31.12'")</f>
        <v>SIRData.Vårdtillfällen.Avliden2024.Regel: '31.12'</v>
      </c>
      <c r="D292" s="13" t="s">
        <v>2907</v>
      </c>
      <c r="E292" s="6"/>
    </row>
    <row r="293" spans="2:5" ht="45" x14ac:dyDescent="0.35">
      <c r="B293" s="10" t="s">
        <v>2908</v>
      </c>
      <c r="C293" s="5" t="str">
        <f>HYPERLINK("#'Json-dokumentation'!J1755", "SIRData.Vårdtillfällen.Avliden2024.Regel: '31.14'")</f>
        <v>SIRData.Vårdtillfällen.Avliden2024.Regel: '31.14'</v>
      </c>
      <c r="D293" s="13" t="s">
        <v>2909</v>
      </c>
      <c r="E293" s="6"/>
    </row>
    <row r="294" spans="2:5" ht="60" x14ac:dyDescent="0.35">
      <c r="B294" s="10" t="s">
        <v>2910</v>
      </c>
      <c r="C294" s="5" t="str">
        <f>HYPERLINK("#'Json-dokumentation'!J1755", "SIRData.Vårdtillfällen.Avliden2024.Regel: '31.15'")</f>
        <v>SIRData.Vårdtillfällen.Avliden2024.Regel: '31.15'</v>
      </c>
      <c r="D294" s="13" t="s">
        <v>2911</v>
      </c>
      <c r="E294" s="6"/>
    </row>
    <row r="295" spans="2:5" ht="45" x14ac:dyDescent="0.35">
      <c r="B295" s="10" t="s">
        <v>2912</v>
      </c>
      <c r="C295" s="5" t="str">
        <f>HYPERLINK("#'Json-dokumentation'!J1755", "SIRData.Vårdtillfällen.Avliden2024.Regel: '31.16'")</f>
        <v>SIRData.Vårdtillfällen.Avliden2024.Regel: '31.16'</v>
      </c>
      <c r="D295" s="13" t="s">
        <v>2913</v>
      </c>
      <c r="E295" s="6"/>
    </row>
    <row r="296" spans="2:5" ht="60" x14ac:dyDescent="0.35">
      <c r="B296" s="10" t="s">
        <v>2914</v>
      </c>
      <c r="C296" s="5" t="str">
        <f>HYPERLINK("#'Json-dokumentation'!J1755", "SIRData.Vårdtillfällen.Avliden2024.Regel: '31.17'")</f>
        <v>SIRData.Vårdtillfällen.Avliden2024.Regel: '31.17'</v>
      </c>
      <c r="D296" s="13" t="s">
        <v>2915</v>
      </c>
      <c r="E296" s="6"/>
    </row>
    <row r="297" spans="2:5" ht="45" x14ac:dyDescent="0.35">
      <c r="B297" s="10" t="s">
        <v>2916</v>
      </c>
      <c r="C297" s="5" t="str">
        <f>HYPERLINK("#'Json-dokumentation'!J1755", "SIRData.Vårdtillfällen.Avliden2024.Regel: '31.18'")</f>
        <v>SIRData.Vårdtillfällen.Avliden2024.Regel: '31.18'</v>
      </c>
      <c r="D297" s="13" t="s">
        <v>2917</v>
      </c>
      <c r="E297" s="6"/>
    </row>
    <row r="298" spans="2:5" ht="60" x14ac:dyDescent="0.35">
      <c r="B298" s="10" t="s">
        <v>2918</v>
      </c>
      <c r="C298" s="5" t="str">
        <f>HYPERLINK("#'Json-dokumentation'!J1755", "SIRData.Vårdtillfällen.Avliden2024.Regel: '31.19'")</f>
        <v>SIRData.Vårdtillfällen.Avliden2024.Regel: '31.19'</v>
      </c>
      <c r="D298" s="13" t="s">
        <v>2919</v>
      </c>
      <c r="E298" s="6"/>
    </row>
    <row r="299" spans="2:5" ht="105" x14ac:dyDescent="0.35">
      <c r="B299" s="10" t="s">
        <v>2920</v>
      </c>
      <c r="C299" s="5" t="str">
        <f>HYPERLINK("#'Json-dokumentation'!J1953", "SIRData.Vårdtillfällen.Avliden2024.Regel: '31.20'")</f>
        <v>SIRData.Vårdtillfällen.Avliden2024.Regel: '31.20'</v>
      </c>
      <c r="D299" s="13" t="s">
        <v>2921</v>
      </c>
      <c r="E299" s="6"/>
    </row>
    <row r="300" spans="2:5" ht="120" x14ac:dyDescent="0.35">
      <c r="B300" s="10" t="s">
        <v>2922</v>
      </c>
      <c r="C300" s="5" t="str">
        <f>HYPERLINK("#'Json-dokumentation'!J1954", "SIRData.Vårdtillfällen.Avliden2024.Regel: '31.21'")</f>
        <v>SIRData.Vårdtillfällen.Avliden2024.Regel: '31.21'</v>
      </c>
      <c r="D300" s="13" t="s">
        <v>2923</v>
      </c>
      <c r="E300" s="6"/>
    </row>
    <row r="301" spans="2:5" ht="120" x14ac:dyDescent="0.35">
      <c r="B301" s="10" t="s">
        <v>2924</v>
      </c>
      <c r="C301" s="5" t="str">
        <f>HYPERLINK("#'Json-dokumentation'!J1955", "SIRData.Vårdtillfällen.Avliden2024.Regel: '31.22'")</f>
        <v>SIRData.Vårdtillfällen.Avliden2024.Regel: '31.22'</v>
      </c>
      <c r="D301" s="13" t="s">
        <v>2925</v>
      </c>
      <c r="E301" s="6"/>
    </row>
    <row r="302" spans="2:5" ht="120" x14ac:dyDescent="0.35">
      <c r="B302" s="10" t="s">
        <v>2926</v>
      </c>
      <c r="C302" s="5" t="str">
        <f>HYPERLINK("#'Json-dokumentation'!J1956", "SIRData.Vårdtillfällen.Avliden2024.Regel: '31.23'")</f>
        <v>SIRData.Vårdtillfällen.Avliden2024.Regel: '31.23'</v>
      </c>
      <c r="D302" s="13" t="s">
        <v>2927</v>
      </c>
      <c r="E302" s="6"/>
    </row>
    <row r="303" spans="2:5" ht="90" x14ac:dyDescent="0.35">
      <c r="B303" s="10" t="s">
        <v>2928</v>
      </c>
      <c r="C303" s="5" t="str">
        <f>HYPERLINK("#'Json-dokumentation'!J1957", "SIRData.Vårdtillfällen.Avliden2024.Regel: '31.24'")</f>
        <v>SIRData.Vårdtillfällen.Avliden2024.Regel: '31.24'</v>
      </c>
      <c r="D303" s="13" t="s">
        <v>2929</v>
      </c>
      <c r="E303" s="6"/>
    </row>
    <row r="304" spans="2:5" ht="90" x14ac:dyDescent="0.35">
      <c r="B304" s="10" t="s">
        <v>2930</v>
      </c>
      <c r="C304" s="5" t="str">
        <f>HYPERLINK("#'Json-dokumentation'!J1958", "SIRData.Vårdtillfällen.Avliden2024.Regel: '31.25'")</f>
        <v>SIRData.Vårdtillfällen.Avliden2024.Regel: '31.25'</v>
      </c>
      <c r="D304" s="13" t="s">
        <v>2931</v>
      </c>
      <c r="E304" s="6"/>
    </row>
    <row r="305" spans="2:5" ht="90" x14ac:dyDescent="0.35">
      <c r="B305" s="10" t="s">
        <v>2932</v>
      </c>
      <c r="C305" s="5" t="str">
        <f>HYPERLINK("#'Json-dokumentation'!J1959", "SIRData.Vårdtillfällen.Avliden2024.Regel: '31.26'")</f>
        <v>SIRData.Vårdtillfällen.Avliden2024.Regel: '31.26'</v>
      </c>
      <c r="D305" s="13" t="s">
        <v>2933</v>
      </c>
      <c r="E305" s="6"/>
    </row>
    <row r="306" spans="2:5" ht="90" x14ac:dyDescent="0.35">
      <c r="B306" s="10" t="s">
        <v>2934</v>
      </c>
      <c r="C306" s="5" t="str">
        <f>HYPERLINK("#'Json-dokumentation'!J1960", "SIRData.Vårdtillfällen.Avliden2024.Regel: '31.27'")</f>
        <v>SIRData.Vårdtillfällen.Avliden2024.Regel: '31.27'</v>
      </c>
      <c r="D306" s="13" t="s">
        <v>2935</v>
      </c>
      <c r="E306" s="6"/>
    </row>
    <row r="307" spans="2:5" ht="90" x14ac:dyDescent="0.35">
      <c r="B307" s="10" t="s">
        <v>2936</v>
      </c>
      <c r="C307" s="5" t="str">
        <f>HYPERLINK("#'Json-dokumentation'!J1961", "SIRData.Vårdtillfällen.Avliden2024.Regel: '31.28'")</f>
        <v>SIRData.Vårdtillfällen.Avliden2024.Regel: '31.28'</v>
      </c>
      <c r="D307" s="13" t="s">
        <v>2937</v>
      </c>
      <c r="E307" s="6"/>
    </row>
    <row r="308" spans="2:5" ht="90" x14ac:dyDescent="0.35">
      <c r="B308" s="10" t="s">
        <v>2938</v>
      </c>
      <c r="C308" s="5" t="str">
        <f>HYPERLINK("#'Json-dokumentation'!J1962", "SIRData.Vårdtillfällen.Avliden2024.Regel: '31.29'")</f>
        <v>SIRData.Vårdtillfällen.Avliden2024.Regel: '31.29'</v>
      </c>
      <c r="D308" s="13" t="s">
        <v>2939</v>
      </c>
      <c r="E308" s="6"/>
    </row>
    <row r="309" spans="2:5" ht="90" x14ac:dyDescent="0.35">
      <c r="B309" s="10" t="s">
        <v>2940</v>
      </c>
      <c r="C309" s="5" t="str">
        <f>HYPERLINK("#'Json-dokumentation'!J1963", "SIRData.Vårdtillfällen.Avliden2024.Regel: '31.30'")</f>
        <v>SIRData.Vårdtillfällen.Avliden2024.Regel: '31.30'</v>
      </c>
      <c r="D309" s="13" t="s">
        <v>2941</v>
      </c>
      <c r="E309" s="6"/>
    </row>
    <row r="310" spans="2:5" ht="30" x14ac:dyDescent="0.35">
      <c r="B310" s="10" t="s">
        <v>2942</v>
      </c>
      <c r="C310" s="5" t="str">
        <f>HYPERLINK("#'Json-dokumentation'!J1755", "SIRData.Vårdtillfällen.Avliden2024.Regel: '31.31'")</f>
        <v>SIRData.Vårdtillfällen.Avliden2024.Regel: '31.31'</v>
      </c>
      <c r="D310" s="13" t="s">
        <v>2943</v>
      </c>
      <c r="E310" s="6"/>
    </row>
    <row r="311" spans="2:5" ht="45" x14ac:dyDescent="0.35">
      <c r="B311" s="10" t="s">
        <v>2944</v>
      </c>
      <c r="C311" s="5" t="str">
        <f>HYPERLINK("#'Json-dokumentation'!J1755", "SIRData.Vårdtillfällen.Avliden2024.Regel: '31.32'")</f>
        <v>SIRData.Vårdtillfällen.Avliden2024.Regel: '31.32'</v>
      </c>
      <c r="D311" s="13" t="s">
        <v>2945</v>
      </c>
      <c r="E311" s="6"/>
    </row>
    <row r="312" spans="2:5" ht="75" x14ac:dyDescent="0.35">
      <c r="B312" s="10" t="s">
        <v>2946</v>
      </c>
      <c r="C312" s="5" t="str">
        <f>HYPERLINK("#'Json-dokumentation'!J1755", "SIRData.Vårdtillfällen.Avliden2024.Regel: '31.33'")</f>
        <v>SIRData.Vårdtillfällen.Avliden2024.Regel: '31.33'</v>
      </c>
      <c r="D312" s="13" t="s">
        <v>2947</v>
      </c>
      <c r="E312" s="6"/>
    </row>
    <row r="313" spans="2:5" ht="30" x14ac:dyDescent="0.35">
      <c r="B313" s="10" t="s">
        <v>2948</v>
      </c>
      <c r="C313" s="5" t="str">
        <f>HYPERLINK("#'Json-dokumentation'!J1755", "SIRData.Vårdtillfällen.Avliden2024.Regel: '31.34'")</f>
        <v>SIRData.Vårdtillfällen.Avliden2024.Regel: '31.34'</v>
      </c>
      <c r="D313" s="13" t="s">
        <v>2949</v>
      </c>
      <c r="E313" s="6"/>
    </row>
    <row r="314" spans="2:5" ht="30" x14ac:dyDescent="0.35">
      <c r="B314" s="10" t="s">
        <v>2950</v>
      </c>
      <c r="C314" s="5" t="str">
        <f>HYPERLINK("#'Json-dokumentation'!J1755", "SIRData.Vårdtillfällen.Avliden2024.Regel: '31.35'")</f>
        <v>SIRData.Vårdtillfällen.Avliden2024.Regel: '31.35'</v>
      </c>
      <c r="D314" s="13" t="s">
        <v>2951</v>
      </c>
      <c r="E314" s="6"/>
    </row>
    <row r="315" spans="2:5" ht="21" x14ac:dyDescent="0.35">
      <c r="B315" s="10" t="s">
        <v>2952</v>
      </c>
      <c r="C315" s="5" t="str">
        <f>HYPERLINK("#'Json-dokumentation'!J1755", "SIRData.Vårdtillfällen.Avliden2024.Regel: '31.40'")</f>
        <v>SIRData.Vårdtillfällen.Avliden2024.Regel: '31.40'</v>
      </c>
      <c r="D315" s="13" t="s">
        <v>2953</v>
      </c>
      <c r="E315" s="6"/>
    </row>
    <row r="316" spans="2:5" ht="21" x14ac:dyDescent="0.35">
      <c r="B316" s="10" t="s">
        <v>2954</v>
      </c>
      <c r="C316" s="5" t="str">
        <f>HYPERLINK("#'Json-dokumentation'!J1755", "SIRData.Vårdtillfällen.Avliden2024.Regel: '31.50'")</f>
        <v>SIRData.Vårdtillfällen.Avliden2024.Regel: '31.50'</v>
      </c>
      <c r="D316" s="13" t="s">
        <v>2955</v>
      </c>
      <c r="E316" s="6"/>
    </row>
    <row r="317" spans="2:5" ht="21" x14ac:dyDescent="0.35">
      <c r="B317" s="10" t="s">
        <v>2956</v>
      </c>
      <c r="C317" s="5" t="str">
        <f>HYPERLINK("#'Json-dokumentation'!J1755", "SIRData.Vårdtillfällen.Avliden2024.Regel: '31.51'")</f>
        <v>SIRData.Vårdtillfällen.Avliden2024.Regel: '31.51'</v>
      </c>
      <c r="D317" s="13" t="s">
        <v>2957</v>
      </c>
      <c r="E317" s="6"/>
    </row>
    <row r="318" spans="2:5" ht="21" x14ac:dyDescent="0.35">
      <c r="B318" s="10" t="s">
        <v>2958</v>
      </c>
      <c r="C318" s="5" t="str">
        <f>HYPERLINK("#'Json-dokumentation'!J1755", "SIRData.Vårdtillfällen.Avliden2024.Regel: '31.52'")</f>
        <v>SIRData.Vårdtillfällen.Avliden2024.Regel: '31.52'</v>
      </c>
      <c r="D318" s="13" t="s">
        <v>2959</v>
      </c>
      <c r="E318" s="6"/>
    </row>
    <row r="319" spans="2:5" ht="21" x14ac:dyDescent="0.35">
      <c r="B319" s="10" t="s">
        <v>2960</v>
      </c>
      <c r="C319" s="5" t="str">
        <f>HYPERLINK("#'Json-dokumentation'!J1755", "SIRData.Vårdtillfällen.Avliden2024.Regel: '31.53'")</f>
        <v>SIRData.Vårdtillfällen.Avliden2024.Regel: '31.53'</v>
      </c>
      <c r="D319" s="13" t="s">
        <v>2961</v>
      </c>
      <c r="E319" s="6"/>
    </row>
    <row r="320" spans="2:5" ht="21" x14ac:dyDescent="0.35">
      <c r="B320" s="10" t="s">
        <v>2962</v>
      </c>
      <c r="C320" s="5" t="str">
        <f>HYPERLINK("#'Json-dokumentation'!J1755", "SIRData.Vårdtillfällen.Avliden2024.Regel: '31.54'")</f>
        <v>SIRData.Vårdtillfällen.Avliden2024.Regel: '31.54'</v>
      </c>
      <c r="D320" s="13" t="s">
        <v>2963</v>
      </c>
      <c r="E320" s="6"/>
    </row>
    <row r="321" spans="2:5" ht="21" x14ac:dyDescent="0.35">
      <c r="B321" s="10" t="s">
        <v>2964</v>
      </c>
      <c r="C321" s="5" t="str">
        <f>HYPERLINK("#'Json-dokumentation'!J1755", "SIRData.Vårdtillfällen.Avliden2024.Regel: '31.55'")</f>
        <v>SIRData.Vårdtillfällen.Avliden2024.Regel: '31.55'</v>
      </c>
      <c r="D321" s="13" t="s">
        <v>2965</v>
      </c>
      <c r="E321" s="6"/>
    </row>
    <row r="322" spans="2:5" ht="21" x14ac:dyDescent="0.35">
      <c r="B322" s="10" t="s">
        <v>2966</v>
      </c>
      <c r="C322" s="5" t="str">
        <f>HYPERLINK("#'Json-dokumentation'!J1755", "SIRData.Vårdtillfällen.Avliden2024.Regel: '31.60'")</f>
        <v>SIRData.Vårdtillfällen.Avliden2024.Regel: '31.60'</v>
      </c>
      <c r="D322" s="13" t="s">
        <v>2967</v>
      </c>
      <c r="E322" s="6"/>
    </row>
    <row r="323" spans="2:5" ht="21" x14ac:dyDescent="0.35">
      <c r="B323" s="10" t="s">
        <v>2968</v>
      </c>
      <c r="C323" s="5" t="str">
        <f>HYPERLINK("#'Json-dokumentation'!J1755", "SIRData.Vårdtillfällen.Avliden2024.Regel: '31.61'")</f>
        <v>SIRData.Vårdtillfällen.Avliden2024.Regel: '31.61'</v>
      </c>
      <c r="D323" s="13" t="s">
        <v>2969</v>
      </c>
      <c r="E323" s="6"/>
    </row>
    <row r="324" spans="2:5" ht="21" x14ac:dyDescent="0.35">
      <c r="B324" s="10" t="s">
        <v>2970</v>
      </c>
      <c r="C324" s="5" t="str">
        <f>HYPERLINK("#'Json-dokumentation'!J1755", "SIRData.Vårdtillfällen.Avliden2024.Regel: '31.62'")</f>
        <v>SIRData.Vårdtillfällen.Avliden2024.Regel: '31.62'</v>
      </c>
      <c r="D324" s="13" t="s">
        <v>2971</v>
      </c>
      <c r="E324" s="6"/>
    </row>
    <row r="325" spans="2:5" ht="21" x14ac:dyDescent="0.35">
      <c r="B325" s="10" t="s">
        <v>2972</v>
      </c>
      <c r="C325" s="5" t="str">
        <f>HYPERLINK("#'Json-dokumentation'!J1755", "SIRData.Vårdtillfällen.Avliden2024.Regel: '31.63'")</f>
        <v>SIRData.Vårdtillfällen.Avliden2024.Regel: '31.63'</v>
      </c>
      <c r="D325" s="13" t="s">
        <v>2973</v>
      </c>
      <c r="E325" s="6"/>
    </row>
    <row r="326" spans="2:5" ht="90" x14ac:dyDescent="0.35">
      <c r="B326" s="10" t="s">
        <v>2974</v>
      </c>
      <c r="C326" s="5" t="s">
        <v>2975</v>
      </c>
      <c r="D326" s="13" t="s">
        <v>2976</v>
      </c>
      <c r="E326" s="6"/>
    </row>
    <row r="327" spans="2:5" ht="90" x14ac:dyDescent="0.35">
      <c r="B327" s="11" t="s">
        <v>2977</v>
      </c>
      <c r="C327" s="8" t="str">
        <f>HYPERLINK("#'Json-dokumentation'!J2489", "SIRData.Vårdtillfällen.OmvårdnadSmärta.Regel: '27.03'")</f>
        <v>SIRData.Vårdtillfällen.OmvårdnadSmärta.Regel: '27.03'</v>
      </c>
      <c r="D327" s="14" t="s">
        <v>2978</v>
      </c>
      <c r="E327" s="6"/>
    </row>
    <row r="330" spans="2:5" ht="18.75" x14ac:dyDescent="0.25">
      <c r="B330" s="68" t="s">
        <v>2979</v>
      </c>
      <c r="C330" s="46"/>
      <c r="D330" s="4" t="s">
        <v>2980</v>
      </c>
    </row>
    <row r="331" spans="2:5" ht="21" x14ac:dyDescent="0.35">
      <c r="B331" s="9" t="s">
        <v>2981</v>
      </c>
      <c r="C331" s="7" t="s">
        <v>2675</v>
      </c>
      <c r="D331" s="12" t="s">
        <v>2676</v>
      </c>
      <c r="E331" s="6"/>
    </row>
    <row r="332" spans="2:5" ht="21" x14ac:dyDescent="0.35">
      <c r="B332" s="10" t="s">
        <v>2982</v>
      </c>
      <c r="C332" s="5" t="s">
        <v>2678</v>
      </c>
      <c r="D332" s="13" t="s">
        <v>2679</v>
      </c>
      <c r="E332" s="6"/>
    </row>
    <row r="333" spans="2:5" ht="21" x14ac:dyDescent="0.35">
      <c r="B333" s="10" t="s">
        <v>2983</v>
      </c>
      <c r="C333" s="5" t="s">
        <v>2684</v>
      </c>
      <c r="D333" s="13" t="s">
        <v>2810</v>
      </c>
      <c r="E333" s="6"/>
    </row>
    <row r="334" spans="2:5" ht="21" x14ac:dyDescent="0.35">
      <c r="B334" s="10" t="s">
        <v>2984</v>
      </c>
      <c r="C334" s="5" t="s">
        <v>2687</v>
      </c>
      <c r="D334" s="13" t="s">
        <v>2985</v>
      </c>
      <c r="E334" s="6"/>
    </row>
    <row r="335" spans="2:5" ht="21" x14ac:dyDescent="0.35">
      <c r="B335" s="10" t="s">
        <v>2986</v>
      </c>
      <c r="C335" s="5" t="s">
        <v>2691</v>
      </c>
      <c r="D335" s="13" t="s">
        <v>2987</v>
      </c>
      <c r="E335" s="6"/>
    </row>
    <row r="336" spans="2:5" ht="21" x14ac:dyDescent="0.35">
      <c r="B336" s="10" t="s">
        <v>2988</v>
      </c>
      <c r="C336" s="5" t="str">
        <f>HYPERLINK("#'Json-dokumentation'!A7", "SIRData")</f>
        <v>SIRData</v>
      </c>
      <c r="D336" s="13" t="s">
        <v>2425</v>
      </c>
      <c r="E336" s="6"/>
    </row>
    <row r="337" spans="2:5" ht="90" x14ac:dyDescent="0.35">
      <c r="B337" s="10" t="s">
        <v>2989</v>
      </c>
      <c r="C337" s="5" t="str">
        <f>HYPERLINK("#'Json-dokumentation'!J1718", "SIRData.Vårdtillfällen.Avliden2020.Regel: '26.01'")</f>
        <v>SIRData.Vårdtillfällen.Avliden2020.Regel: '26.01'</v>
      </c>
      <c r="D337" s="13" t="s">
        <v>2990</v>
      </c>
      <c r="E337" s="6"/>
    </row>
    <row r="338" spans="2:5" ht="21" x14ac:dyDescent="0.35">
      <c r="B338" s="10" t="s">
        <v>2991</v>
      </c>
      <c r="C338" s="5" t="str">
        <f>HYPERLINK("#'Json-dokumentation'!J2412", "SIRData.Vårdtillfällen.OmvårdnadSmärta.Regel: '28.01'")</f>
        <v>SIRData.Vårdtillfällen.OmvårdnadSmärta.Regel: '28.01'</v>
      </c>
      <c r="D338" s="13" t="s">
        <v>2703</v>
      </c>
      <c r="E338" s="6"/>
    </row>
    <row r="339" spans="2:5" ht="21" x14ac:dyDescent="0.35">
      <c r="B339" s="10" t="s">
        <v>2992</v>
      </c>
      <c r="C339" s="5" t="str">
        <f>HYPERLINK("#'Json-dokumentation'!J2412", "SIRData.Vårdtillfällen.OmvårdnadSmärta.Regel: '29.01'")</f>
        <v>SIRData.Vårdtillfällen.OmvårdnadSmärta.Regel: '29.01'</v>
      </c>
      <c r="D339" s="13" t="s">
        <v>2544</v>
      </c>
      <c r="E339" s="6"/>
    </row>
    <row r="340" spans="2:5" ht="45" x14ac:dyDescent="0.35">
      <c r="B340" s="10" t="s">
        <v>2993</v>
      </c>
      <c r="C340" s="5" t="str">
        <f>HYPERLINK("#'Json-dokumentation'!J2519", "SIRData.Vårdtillfällen.OmvårdnadSedering.Regel: '28.01'")</f>
        <v>SIRData.Vårdtillfällen.OmvårdnadSedering.Regel: '28.01'</v>
      </c>
      <c r="D340" s="13" t="s">
        <v>2698</v>
      </c>
      <c r="E340" s="6"/>
    </row>
    <row r="341" spans="2:5" ht="30" x14ac:dyDescent="0.35">
      <c r="B341" s="10" t="s">
        <v>2994</v>
      </c>
      <c r="C341" s="5" t="str">
        <f>HYPERLINK("#'Json-dokumentation'!J2655", "SIRData.Vårdtillfällen.OmvårdnadDelirium.Regel: '29.01'")</f>
        <v>SIRData.Vårdtillfällen.OmvårdnadDelirium.Regel: '29.01'</v>
      </c>
      <c r="D341" s="13" t="s">
        <v>2558</v>
      </c>
      <c r="E341" s="6"/>
    </row>
    <row r="342" spans="2:5" ht="21" x14ac:dyDescent="0.35">
      <c r="B342" s="10" t="s">
        <v>2995</v>
      </c>
      <c r="C342" s="5" t="str">
        <f>HYPERLINK("#'Json-dokumentation'!J1203", "SIRData.Vårdtillfällen")</f>
        <v>SIRData.Vårdtillfällen</v>
      </c>
      <c r="D342" s="13" t="s">
        <v>2996</v>
      </c>
      <c r="E342" s="6"/>
    </row>
    <row r="343" spans="2:5" ht="21" x14ac:dyDescent="0.35">
      <c r="B343" s="10" t="s">
        <v>2997</v>
      </c>
      <c r="C343" s="5" t="str">
        <f>HYPERLINK("#'Json-dokumentation'!J1755", "SIRData.Vårdtillfällen")</f>
        <v>SIRData.Vårdtillfällen</v>
      </c>
      <c r="D343" s="13" t="s">
        <v>2998</v>
      </c>
      <c r="E343" s="6"/>
    </row>
    <row r="344" spans="2:5" ht="90" x14ac:dyDescent="0.35">
      <c r="B344" s="11" t="s">
        <v>2999</v>
      </c>
      <c r="C344" s="8" t="str">
        <f>HYPERLINK("#'Json-dokumentation'!J147", "SIRData.Vårdtillfällen.Regel: '1.03'")</f>
        <v>SIRData.Vårdtillfällen.Regel: '1.03'</v>
      </c>
      <c r="D344" s="14" t="s">
        <v>3000</v>
      </c>
      <c r="E344" s="6"/>
    </row>
    <row r="347" spans="2:5" ht="18.75" x14ac:dyDescent="0.25">
      <c r="B347" s="68" t="s">
        <v>3001</v>
      </c>
      <c r="C347" s="46"/>
      <c r="D347" s="4" t="s">
        <v>3002</v>
      </c>
    </row>
    <row r="348" spans="2:5" ht="21" x14ac:dyDescent="0.35">
      <c r="B348" s="9" t="s">
        <v>3003</v>
      </c>
      <c r="C348" s="7" t="s">
        <v>2422</v>
      </c>
      <c r="D348" s="12" t="s">
        <v>3004</v>
      </c>
      <c r="E348" s="6"/>
    </row>
    <row r="349" spans="2:5" ht="21" x14ac:dyDescent="0.35">
      <c r="B349" s="10" t="s">
        <v>3005</v>
      </c>
      <c r="C349" s="5" t="str">
        <f>HYPERLINK("#'Json-dokumentation'!A7", "SIRData")</f>
        <v>SIRData</v>
      </c>
      <c r="D349" s="13" t="s">
        <v>2425</v>
      </c>
      <c r="E349" s="6"/>
    </row>
    <row r="350" spans="2:5" ht="21" x14ac:dyDescent="0.35">
      <c r="B350" s="10" t="s">
        <v>3006</v>
      </c>
      <c r="C350" s="5" t="str">
        <f>HYPERLINK("#'Json-dokumentation'!J2412", "SIRData.Vårdtillfällen")</f>
        <v>SIRData.Vårdtillfällen</v>
      </c>
      <c r="D350" s="13" t="s">
        <v>3007</v>
      </c>
      <c r="E350" s="6"/>
    </row>
    <row r="351" spans="2:5" ht="21" x14ac:dyDescent="0.35">
      <c r="B351" s="10" t="s">
        <v>3008</v>
      </c>
      <c r="C351" s="5" t="str">
        <f>HYPERLINK("#'Json-dokumentation'!J2519", "SIRData.Vårdtillfällen")</f>
        <v>SIRData.Vårdtillfällen</v>
      </c>
      <c r="D351" s="13" t="s">
        <v>3009</v>
      </c>
      <c r="E351" s="6"/>
    </row>
    <row r="352" spans="2:5" ht="21" x14ac:dyDescent="0.35">
      <c r="B352" s="11" t="s">
        <v>3010</v>
      </c>
      <c r="C352" s="8" t="str">
        <f>HYPERLINK("#'Json-dokumentation'!J2655", "SIRData.Vårdtillfällen")</f>
        <v>SIRData.Vårdtillfällen</v>
      </c>
      <c r="D352" s="14" t="s">
        <v>3011</v>
      </c>
      <c r="E352" s="6"/>
    </row>
    <row r="355" spans="2:5" ht="18.75" x14ac:dyDescent="0.25">
      <c r="B355" s="68" t="s">
        <v>3012</v>
      </c>
      <c r="C355" s="46"/>
      <c r="D355" s="4" t="s">
        <v>3013</v>
      </c>
    </row>
    <row r="356" spans="2:5" ht="21" x14ac:dyDescent="0.35">
      <c r="B356" s="9" t="s">
        <v>3014</v>
      </c>
      <c r="C356" s="7" t="str">
        <f>HYPERLINK("#'Json-dokumentation'!A7", "SIRData")</f>
        <v>SIRData</v>
      </c>
      <c r="D356" s="12" t="s">
        <v>2425</v>
      </c>
      <c r="E356" s="6"/>
    </row>
    <row r="357" spans="2:5" ht="21" x14ac:dyDescent="0.35">
      <c r="B357" s="10" t="s">
        <v>3015</v>
      </c>
      <c r="C357" s="5" t="str">
        <f>HYPERLINK("#'Json-dokumentation'!J212", "SIRData.Vårdtillfällen.Vårddata.Regel: '3.21'")</f>
        <v>SIRData.Vårdtillfällen.Vårddata.Regel: '3.21'</v>
      </c>
      <c r="D357" s="13" t="s">
        <v>3016</v>
      </c>
      <c r="E357" s="6"/>
    </row>
    <row r="358" spans="2:5" ht="75" x14ac:dyDescent="0.35">
      <c r="B358" s="10" t="s">
        <v>3017</v>
      </c>
      <c r="C358" s="5" t="str">
        <f>HYPERLINK("#'Json-dokumentation'!J1607", "SIRData.Vårdtillfällen.Avliden2020.DödsfallKonstateratGenom.KliniskOchAngio")</f>
        <v>SIRData.Vårdtillfällen.Avliden2020.DödsfallKonstateratGenom.KliniskOchAngio</v>
      </c>
      <c r="D358" s="13" t="s">
        <v>3018</v>
      </c>
      <c r="E358" s="6"/>
    </row>
    <row r="359" spans="2:5" ht="30" x14ac:dyDescent="0.35">
      <c r="B359" s="10" t="s">
        <v>3019</v>
      </c>
      <c r="C359" s="5" t="str">
        <f>HYPERLINK("#'Json-dokumentation'!J1614", "SIRData.Vårdtillfällen.Avliden2020.OrsakIndirektaKriterier.LångvarigtBeslutsoförmögen")</f>
        <v>SIRData.Vårdtillfällen.Avliden2020.OrsakIndirektaKriterier.LångvarigtBeslutsoförmögen</v>
      </c>
      <c r="D359" s="13" t="s">
        <v>3020</v>
      </c>
      <c r="E359" s="6"/>
    </row>
    <row r="360" spans="2:5" ht="30" x14ac:dyDescent="0.35">
      <c r="B360" s="10" t="s">
        <v>3021</v>
      </c>
      <c r="C360" s="5" t="str">
        <f>HYPERLINK("#'Json-dokumentation'!J1675", "SIRData.Vårdtillfällen.Avliden2020.OkändViljaUtfall.NärståendeInformerade")</f>
        <v>SIRData.Vårdtillfällen.Avliden2020.OkändViljaUtfall.NärståendeInformerade</v>
      </c>
      <c r="D360" s="13" t="s">
        <v>3022</v>
      </c>
      <c r="E360" s="6"/>
    </row>
    <row r="361" spans="2:5" ht="30" x14ac:dyDescent="0.35">
      <c r="B361" s="10" t="s">
        <v>3023</v>
      </c>
      <c r="C361" s="5" t="str">
        <f>HYPERLINK("#'Json-dokumentation'!J1697", "SIRData.Vårdtillfällen.Avliden2020.OrsakUteblivenDonation.SenNegativDonationsvilja")</f>
        <v>SIRData.Vårdtillfällen.Avliden2020.OrsakUteblivenDonation.SenNegativDonationsvilja</v>
      </c>
      <c r="D361" s="13" t="s">
        <v>3024</v>
      </c>
      <c r="E361" s="6"/>
    </row>
    <row r="362" spans="2:5" ht="30" x14ac:dyDescent="0.35">
      <c r="B362" s="10" t="s">
        <v>3025</v>
      </c>
      <c r="C362" s="5" t="str">
        <f>HYPERLINK("#'Json-dokumentation'!J1697", "SIRData.Vårdtillfällen.Avliden2020.OrsakUteblivenDonation.LångvarigtBeslutsoförmögen")</f>
        <v>SIRData.Vårdtillfällen.Avliden2020.OrsakUteblivenDonation.LångvarigtBeslutsoförmögen</v>
      </c>
      <c r="D362" s="13" t="s">
        <v>3020</v>
      </c>
      <c r="E362" s="6"/>
    </row>
    <row r="363" spans="2:5" ht="30" x14ac:dyDescent="0.35">
      <c r="B363" s="10" t="s">
        <v>3026</v>
      </c>
      <c r="C363" s="5" t="str">
        <f>HYPERLINK("#'Json-dokumentation'!J1697", "SIRData.Vårdtillfällen.Avliden2020.OrsakUteblivenDonation.ÖvrigaSkäl")</f>
        <v>SIRData.Vårdtillfällen.Avliden2020.OrsakUteblivenDonation.ÖvrigaSkäl</v>
      </c>
      <c r="D363" s="13" t="s">
        <v>3027</v>
      </c>
      <c r="E363" s="6"/>
    </row>
    <row r="364" spans="2:5" ht="21" x14ac:dyDescent="0.35">
      <c r="B364" s="10" t="s">
        <v>3028</v>
      </c>
      <c r="C364" s="5" t="str">
        <f>HYPERLINK("#'Json-dokumentation'!J1670", "SIRData.Vårdtillfällen.Avliden2020")</f>
        <v>SIRData.Vårdtillfällen.Avliden2020</v>
      </c>
      <c r="D364" s="13" t="s">
        <v>3029</v>
      </c>
      <c r="E364" s="6"/>
    </row>
    <row r="365" spans="2:5" ht="90" x14ac:dyDescent="0.35">
      <c r="B365" s="10" t="s">
        <v>3030</v>
      </c>
      <c r="C365" s="5" t="str">
        <f>HYPERLINK("#'Json-dokumentation'!J1734", "SIRData.Vårdtillfällen.Avliden2020.Regel: '26.17'")</f>
        <v>SIRData.Vårdtillfällen.Avliden2020.Regel: '26.17'</v>
      </c>
      <c r="D365" s="13" t="s">
        <v>3031</v>
      </c>
      <c r="E365" s="6"/>
    </row>
    <row r="366" spans="2:5" ht="21" x14ac:dyDescent="0.35">
      <c r="B366" s="10" t="s">
        <v>3032</v>
      </c>
      <c r="C366" s="5" t="str">
        <f>HYPERLINK("#'Json-dokumentation'!J1570", "SIRData.Vårdtillfällen.Avliden2020.Regel: '26.30'")</f>
        <v>SIRData.Vårdtillfällen.Avliden2020.Regel: '26.30'</v>
      </c>
      <c r="D366" s="13" t="s">
        <v>3033</v>
      </c>
      <c r="E366" s="6"/>
    </row>
    <row r="367" spans="2:5" ht="21" x14ac:dyDescent="0.35">
      <c r="B367" s="10" t="s">
        <v>3034</v>
      </c>
      <c r="C367" s="5" t="str">
        <f>HYPERLINK("#'Json-dokumentation'!J1570", "SIRData.Vårdtillfällen.Avliden2020.Regel: '26.31'")</f>
        <v>SIRData.Vårdtillfällen.Avliden2020.Regel: '26.31'</v>
      </c>
      <c r="D367" s="13" t="s">
        <v>3035</v>
      </c>
      <c r="E367" s="6"/>
    </row>
    <row r="368" spans="2:5" ht="21" x14ac:dyDescent="0.35">
      <c r="B368" s="10" t="s">
        <v>3036</v>
      </c>
      <c r="C368" s="5" t="str">
        <f>HYPERLINK("#'Json-dokumentation'!J1570", "SIRData.Vårdtillfällen.Avliden2020.Regel: '26.32'")</f>
        <v>SIRData.Vårdtillfällen.Avliden2020.Regel: '26.32'</v>
      </c>
      <c r="D368" s="13" t="s">
        <v>3037</v>
      </c>
      <c r="E368" s="6"/>
    </row>
    <row r="369" spans="2:5" ht="21" x14ac:dyDescent="0.35">
      <c r="B369" s="11" t="s">
        <v>3038</v>
      </c>
      <c r="C369" s="8" t="str">
        <f>HYPERLINK("#'Json-dokumentation'!J1570", "SIRData.Vårdtillfällen.Avliden2020.Regel: '26.33'")</f>
        <v>SIRData.Vårdtillfällen.Avliden2020.Regel: '26.33'</v>
      </c>
      <c r="D369" s="14" t="s">
        <v>3039</v>
      </c>
      <c r="E369" s="6"/>
    </row>
  </sheetData>
  <mergeCells count="14">
    <mergeCell ref="B275:C275"/>
    <mergeCell ref="B330:C330"/>
    <mergeCell ref="B347:C347"/>
    <mergeCell ref="B355:C355"/>
    <mergeCell ref="B161:C161"/>
    <mergeCell ref="B175:C175"/>
    <mergeCell ref="B219:C219"/>
    <mergeCell ref="B224:C224"/>
    <mergeCell ref="B229:C229"/>
    <mergeCell ref="A1:AD1"/>
    <mergeCell ref="B5:C5"/>
    <mergeCell ref="B100:C100"/>
    <mergeCell ref="B115:C115"/>
    <mergeCell ref="B143:C1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47"/>
  <sheetViews>
    <sheetView workbookViewId="0"/>
  </sheetViews>
  <sheetFormatPr defaultRowHeight="15" x14ac:dyDescent="0.25"/>
  <cols>
    <col min="1" max="21" width="9.140625" customWidth="1"/>
  </cols>
  <sheetData>
    <row r="1" spans="1:30" s="1" customFormat="1" ht="19.5" x14ac:dyDescent="0.3">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5" spans="1:30" s="15" customFormat="1" x14ac:dyDescent="0.25">
      <c r="B5" s="69" t="s">
        <v>3040</v>
      </c>
      <c r="C5" s="70"/>
      <c r="D5" s="70"/>
      <c r="E5" s="70"/>
      <c r="F5" s="70"/>
      <c r="G5" s="70"/>
      <c r="H5" s="70"/>
      <c r="I5" s="70"/>
      <c r="J5" s="70"/>
      <c r="K5" s="70"/>
      <c r="L5" s="70"/>
      <c r="M5" s="70"/>
      <c r="N5" s="70"/>
      <c r="O5" s="70"/>
      <c r="P5" s="70"/>
      <c r="Q5" s="70"/>
      <c r="R5" s="70"/>
      <c r="S5" s="70"/>
      <c r="T5" s="70"/>
      <c r="U5" s="71"/>
    </row>
    <row r="6" spans="1:30" s="15" customFormat="1" x14ac:dyDescent="0.25">
      <c r="B6" s="72" t="s">
        <v>3041</v>
      </c>
      <c r="C6" s="73"/>
      <c r="D6" s="73"/>
      <c r="E6" s="73"/>
      <c r="F6" s="73"/>
      <c r="G6" s="73"/>
      <c r="H6" s="73"/>
      <c r="I6" s="73"/>
      <c r="J6" s="73"/>
      <c r="K6" s="73"/>
      <c r="L6" s="73"/>
      <c r="M6" s="73"/>
      <c r="N6" s="73"/>
      <c r="O6" s="73"/>
      <c r="P6" s="73"/>
      <c r="Q6" s="73"/>
      <c r="R6" s="73"/>
      <c r="S6" s="73"/>
      <c r="T6" s="73"/>
      <c r="U6" s="74"/>
    </row>
    <row r="7" spans="1:30" s="15" customFormat="1" x14ac:dyDescent="0.25">
      <c r="B7" s="72" t="s">
        <v>3042</v>
      </c>
      <c r="C7" s="73"/>
      <c r="D7" s="73"/>
      <c r="E7" s="73"/>
      <c r="F7" s="73"/>
      <c r="G7" s="73"/>
      <c r="H7" s="73"/>
      <c r="I7" s="73"/>
      <c r="J7" s="73"/>
      <c r="K7" s="73"/>
      <c r="L7" s="73"/>
      <c r="M7" s="73"/>
      <c r="N7" s="73"/>
      <c r="O7" s="73"/>
      <c r="P7" s="73"/>
      <c r="Q7" s="73"/>
      <c r="R7" s="73"/>
      <c r="S7" s="73"/>
      <c r="T7" s="73"/>
      <c r="U7" s="74"/>
    </row>
    <row r="8" spans="1:30" s="15" customFormat="1" x14ac:dyDescent="0.25">
      <c r="B8" s="72" t="s">
        <v>3043</v>
      </c>
      <c r="C8" s="73"/>
      <c r="D8" s="73"/>
      <c r="E8" s="73"/>
      <c r="F8" s="73"/>
      <c r="G8" s="73"/>
      <c r="H8" s="73"/>
      <c r="I8" s="73"/>
      <c r="J8" s="73"/>
      <c r="K8" s="73"/>
      <c r="L8" s="73"/>
      <c r="M8" s="73"/>
      <c r="N8" s="73"/>
      <c r="O8" s="73"/>
      <c r="P8" s="73"/>
      <c r="Q8" s="73"/>
      <c r="R8" s="73"/>
      <c r="S8" s="73"/>
      <c r="T8" s="73"/>
      <c r="U8" s="74"/>
    </row>
    <row r="9" spans="1:30" s="15" customFormat="1" x14ac:dyDescent="0.25">
      <c r="B9" s="72" t="s">
        <v>3044</v>
      </c>
      <c r="C9" s="73"/>
      <c r="D9" s="73"/>
      <c r="E9" s="73"/>
      <c r="F9" s="73"/>
      <c r="G9" s="73"/>
      <c r="H9" s="73"/>
      <c r="I9" s="73"/>
      <c r="J9" s="73"/>
      <c r="K9" s="73"/>
      <c r="L9" s="73"/>
      <c r="M9" s="73"/>
      <c r="N9" s="73"/>
      <c r="O9" s="73"/>
      <c r="P9" s="73"/>
      <c r="Q9" s="73"/>
      <c r="R9" s="73"/>
      <c r="S9" s="73"/>
      <c r="T9" s="73"/>
      <c r="U9" s="74"/>
    </row>
    <row r="10" spans="1:30" s="15" customFormat="1" x14ac:dyDescent="0.25">
      <c r="B10" s="72" t="s">
        <v>3045</v>
      </c>
      <c r="C10" s="73"/>
      <c r="D10" s="73"/>
      <c r="E10" s="73"/>
      <c r="F10" s="73"/>
      <c r="G10" s="73"/>
      <c r="H10" s="73"/>
      <c r="I10" s="73"/>
      <c r="J10" s="73"/>
      <c r="K10" s="73"/>
      <c r="L10" s="73"/>
      <c r="M10" s="73"/>
      <c r="N10" s="73"/>
      <c r="O10" s="73"/>
      <c r="P10" s="73"/>
      <c r="Q10" s="73"/>
      <c r="R10" s="73"/>
      <c r="S10" s="73"/>
      <c r="T10" s="73"/>
      <c r="U10" s="74"/>
    </row>
    <row r="11" spans="1:30" s="15" customFormat="1" x14ac:dyDescent="0.25">
      <c r="B11" s="72" t="s">
        <v>3046</v>
      </c>
      <c r="C11" s="73"/>
      <c r="D11" s="73"/>
      <c r="E11" s="73"/>
      <c r="F11" s="73"/>
      <c r="G11" s="73"/>
      <c r="H11" s="73"/>
      <c r="I11" s="73"/>
      <c r="J11" s="73"/>
      <c r="K11" s="73"/>
      <c r="L11" s="73"/>
      <c r="M11" s="73"/>
      <c r="N11" s="73"/>
      <c r="O11" s="73"/>
      <c r="P11" s="73"/>
      <c r="Q11" s="73"/>
      <c r="R11" s="73"/>
      <c r="S11" s="73"/>
      <c r="T11" s="73"/>
      <c r="U11" s="74"/>
    </row>
    <row r="12" spans="1:30" s="15" customFormat="1" x14ac:dyDescent="0.25">
      <c r="B12" s="72" t="s">
        <v>3047</v>
      </c>
      <c r="C12" s="73"/>
      <c r="D12" s="73"/>
      <c r="E12" s="73"/>
      <c r="F12" s="73"/>
      <c r="G12" s="73"/>
      <c r="H12" s="73"/>
      <c r="I12" s="73"/>
      <c r="J12" s="73"/>
      <c r="K12" s="73"/>
      <c r="L12" s="73"/>
      <c r="M12" s="73"/>
      <c r="N12" s="73"/>
      <c r="O12" s="73"/>
      <c r="P12" s="73"/>
      <c r="Q12" s="73"/>
      <c r="R12" s="73"/>
      <c r="S12" s="73"/>
      <c r="T12" s="73"/>
      <c r="U12" s="74"/>
    </row>
    <row r="13" spans="1:30" s="15" customFormat="1" x14ac:dyDescent="0.25">
      <c r="B13" s="72" t="s">
        <v>3048</v>
      </c>
      <c r="C13" s="73"/>
      <c r="D13" s="73"/>
      <c r="E13" s="73"/>
      <c r="F13" s="73"/>
      <c r="G13" s="73"/>
      <c r="H13" s="73"/>
      <c r="I13" s="73"/>
      <c r="J13" s="73"/>
      <c r="K13" s="73"/>
      <c r="L13" s="73"/>
      <c r="M13" s="73"/>
      <c r="N13" s="73"/>
      <c r="O13" s="73"/>
      <c r="P13" s="73"/>
      <c r="Q13" s="73"/>
      <c r="R13" s="73"/>
      <c r="S13" s="73"/>
      <c r="T13" s="73"/>
      <c r="U13" s="74"/>
    </row>
    <row r="14" spans="1:30" s="15" customFormat="1" x14ac:dyDescent="0.25">
      <c r="B14" s="72" t="s">
        <v>3049</v>
      </c>
      <c r="C14" s="73"/>
      <c r="D14" s="73"/>
      <c r="E14" s="73"/>
      <c r="F14" s="73"/>
      <c r="G14" s="73"/>
      <c r="H14" s="73"/>
      <c r="I14" s="73"/>
      <c r="J14" s="73"/>
      <c r="K14" s="73"/>
      <c r="L14" s="73"/>
      <c r="M14" s="73"/>
      <c r="N14" s="73"/>
      <c r="O14" s="73"/>
      <c r="P14" s="73"/>
      <c r="Q14" s="73"/>
      <c r="R14" s="73"/>
      <c r="S14" s="73"/>
      <c r="T14" s="73"/>
      <c r="U14" s="74"/>
    </row>
    <row r="15" spans="1:30" s="15" customFormat="1" x14ac:dyDescent="0.25">
      <c r="B15" s="72" t="s">
        <v>3050</v>
      </c>
      <c r="C15" s="73"/>
      <c r="D15" s="73"/>
      <c r="E15" s="73"/>
      <c r="F15" s="73"/>
      <c r="G15" s="73"/>
      <c r="H15" s="73"/>
      <c r="I15" s="73"/>
      <c r="J15" s="73"/>
      <c r="K15" s="73"/>
      <c r="L15" s="73"/>
      <c r="M15" s="73"/>
      <c r="N15" s="73"/>
      <c r="O15" s="73"/>
      <c r="P15" s="73"/>
      <c r="Q15" s="73"/>
      <c r="R15" s="73"/>
      <c r="S15" s="73"/>
      <c r="T15" s="73"/>
      <c r="U15" s="74"/>
    </row>
    <row r="16" spans="1:30" s="15" customFormat="1" x14ac:dyDescent="0.25">
      <c r="B16" s="72" t="s">
        <v>3051</v>
      </c>
      <c r="C16" s="73"/>
      <c r="D16" s="73"/>
      <c r="E16" s="73"/>
      <c r="F16" s="73"/>
      <c r="G16" s="73"/>
      <c r="H16" s="73"/>
      <c r="I16" s="73"/>
      <c r="J16" s="73"/>
      <c r="K16" s="73"/>
      <c r="L16" s="73"/>
      <c r="M16" s="73"/>
      <c r="N16" s="73"/>
      <c r="O16" s="73"/>
      <c r="P16" s="73"/>
      <c r="Q16" s="73"/>
      <c r="R16" s="73"/>
      <c r="S16" s="73"/>
      <c r="T16" s="73"/>
      <c r="U16" s="74"/>
    </row>
    <row r="17" spans="2:21" s="15" customFormat="1" x14ac:dyDescent="0.25">
      <c r="B17" s="72" t="s">
        <v>3052</v>
      </c>
      <c r="C17" s="73"/>
      <c r="D17" s="73"/>
      <c r="E17" s="73"/>
      <c r="F17" s="73"/>
      <c r="G17" s="73"/>
      <c r="H17" s="73"/>
      <c r="I17" s="73"/>
      <c r="J17" s="73"/>
      <c r="K17" s="73"/>
      <c r="L17" s="73"/>
      <c r="M17" s="73"/>
      <c r="N17" s="73"/>
      <c r="O17" s="73"/>
      <c r="P17" s="73"/>
      <c r="Q17" s="73"/>
      <c r="R17" s="73"/>
      <c r="S17" s="73"/>
      <c r="T17" s="73"/>
      <c r="U17" s="74"/>
    </row>
    <row r="18" spans="2:21" s="15" customFormat="1" x14ac:dyDescent="0.25">
      <c r="B18" s="72" t="s">
        <v>3053</v>
      </c>
      <c r="C18" s="73"/>
      <c r="D18" s="73"/>
      <c r="E18" s="73"/>
      <c r="F18" s="73"/>
      <c r="G18" s="73"/>
      <c r="H18" s="73"/>
      <c r="I18" s="73"/>
      <c r="J18" s="73"/>
      <c r="K18" s="73"/>
      <c r="L18" s="73"/>
      <c r="M18" s="73"/>
      <c r="N18" s="73"/>
      <c r="O18" s="73"/>
      <c r="P18" s="73"/>
      <c r="Q18" s="73"/>
      <c r="R18" s="73"/>
      <c r="S18" s="73"/>
      <c r="T18" s="73"/>
      <c r="U18" s="74"/>
    </row>
    <row r="19" spans="2:21" s="15" customFormat="1" x14ac:dyDescent="0.25">
      <c r="B19" s="72" t="s">
        <v>3054</v>
      </c>
      <c r="C19" s="73"/>
      <c r="D19" s="73"/>
      <c r="E19" s="73"/>
      <c r="F19" s="73"/>
      <c r="G19" s="73"/>
      <c r="H19" s="73"/>
      <c r="I19" s="73"/>
      <c r="J19" s="73"/>
      <c r="K19" s="73"/>
      <c r="L19" s="73"/>
      <c r="M19" s="73"/>
      <c r="N19" s="73"/>
      <c r="O19" s="73"/>
      <c r="P19" s="73"/>
      <c r="Q19" s="73"/>
      <c r="R19" s="73"/>
      <c r="S19" s="73"/>
      <c r="T19" s="73"/>
      <c r="U19" s="74"/>
    </row>
    <row r="20" spans="2:21" s="15" customFormat="1" x14ac:dyDescent="0.25">
      <c r="B20" s="72" t="s">
        <v>3055</v>
      </c>
      <c r="C20" s="73"/>
      <c r="D20" s="73"/>
      <c r="E20" s="73"/>
      <c r="F20" s="73"/>
      <c r="G20" s="73"/>
      <c r="H20" s="73"/>
      <c r="I20" s="73"/>
      <c r="J20" s="73"/>
      <c r="K20" s="73"/>
      <c r="L20" s="73"/>
      <c r="M20" s="73"/>
      <c r="N20" s="73"/>
      <c r="O20" s="73"/>
      <c r="P20" s="73"/>
      <c r="Q20" s="73"/>
      <c r="R20" s="73"/>
      <c r="S20" s="73"/>
      <c r="T20" s="73"/>
      <c r="U20" s="74"/>
    </row>
    <row r="21" spans="2:21" s="15" customFormat="1" x14ac:dyDescent="0.25">
      <c r="B21" s="72" t="s">
        <v>3056</v>
      </c>
      <c r="C21" s="73"/>
      <c r="D21" s="73"/>
      <c r="E21" s="73"/>
      <c r="F21" s="73"/>
      <c r="G21" s="73"/>
      <c r="H21" s="73"/>
      <c r="I21" s="73"/>
      <c r="J21" s="73"/>
      <c r="K21" s="73"/>
      <c r="L21" s="73"/>
      <c r="M21" s="73"/>
      <c r="N21" s="73"/>
      <c r="O21" s="73"/>
      <c r="P21" s="73"/>
      <c r="Q21" s="73"/>
      <c r="R21" s="73"/>
      <c r="S21" s="73"/>
      <c r="T21" s="73"/>
      <c r="U21" s="74"/>
    </row>
    <row r="22" spans="2:21" s="15" customFormat="1" x14ac:dyDescent="0.25">
      <c r="B22" s="72" t="s">
        <v>3057</v>
      </c>
      <c r="C22" s="73"/>
      <c r="D22" s="73"/>
      <c r="E22" s="73"/>
      <c r="F22" s="73"/>
      <c r="G22" s="73"/>
      <c r="H22" s="73"/>
      <c r="I22" s="73"/>
      <c r="J22" s="73"/>
      <c r="K22" s="73"/>
      <c r="L22" s="73"/>
      <c r="M22" s="73"/>
      <c r="N22" s="73"/>
      <c r="O22" s="73"/>
      <c r="P22" s="73"/>
      <c r="Q22" s="73"/>
      <c r="R22" s="73"/>
      <c r="S22" s="73"/>
      <c r="T22" s="73"/>
      <c r="U22" s="74"/>
    </row>
    <row r="23" spans="2:21" s="15" customFormat="1" x14ac:dyDescent="0.25">
      <c r="B23" s="72" t="s">
        <v>3058</v>
      </c>
      <c r="C23" s="73"/>
      <c r="D23" s="73"/>
      <c r="E23" s="73"/>
      <c r="F23" s="73"/>
      <c r="G23" s="73"/>
      <c r="H23" s="73"/>
      <c r="I23" s="73"/>
      <c r="J23" s="73"/>
      <c r="K23" s="73"/>
      <c r="L23" s="73"/>
      <c r="M23" s="73"/>
      <c r="N23" s="73"/>
      <c r="O23" s="73"/>
      <c r="P23" s="73"/>
      <c r="Q23" s="73"/>
      <c r="R23" s="73"/>
      <c r="S23" s="73"/>
      <c r="T23" s="73"/>
      <c r="U23" s="74"/>
    </row>
    <row r="24" spans="2:21" s="15" customFormat="1" x14ac:dyDescent="0.25">
      <c r="B24" s="72" t="s">
        <v>3059</v>
      </c>
      <c r="C24" s="73"/>
      <c r="D24" s="73"/>
      <c r="E24" s="73"/>
      <c r="F24" s="73"/>
      <c r="G24" s="73"/>
      <c r="H24" s="73"/>
      <c r="I24" s="73"/>
      <c r="J24" s="73"/>
      <c r="K24" s="73"/>
      <c r="L24" s="73"/>
      <c r="M24" s="73"/>
      <c r="N24" s="73"/>
      <c r="O24" s="73"/>
      <c r="P24" s="73"/>
      <c r="Q24" s="73"/>
      <c r="R24" s="73"/>
      <c r="S24" s="73"/>
      <c r="T24" s="73"/>
      <c r="U24" s="74"/>
    </row>
    <row r="25" spans="2:21" s="15" customFormat="1" x14ac:dyDescent="0.25">
      <c r="B25" s="72" t="s">
        <v>3060</v>
      </c>
      <c r="C25" s="73"/>
      <c r="D25" s="73"/>
      <c r="E25" s="73"/>
      <c r="F25" s="73"/>
      <c r="G25" s="73"/>
      <c r="H25" s="73"/>
      <c r="I25" s="73"/>
      <c r="J25" s="73"/>
      <c r="K25" s="73"/>
      <c r="L25" s="73"/>
      <c r="M25" s="73"/>
      <c r="N25" s="73"/>
      <c r="O25" s="73"/>
      <c r="P25" s="73"/>
      <c r="Q25" s="73"/>
      <c r="R25" s="73"/>
      <c r="S25" s="73"/>
      <c r="T25" s="73"/>
      <c r="U25" s="74"/>
    </row>
    <row r="26" spans="2:21" s="15" customFormat="1" x14ac:dyDescent="0.25">
      <c r="B26" s="72" t="s">
        <v>3061</v>
      </c>
      <c r="C26" s="73"/>
      <c r="D26" s="73"/>
      <c r="E26" s="73"/>
      <c r="F26" s="73"/>
      <c r="G26" s="73"/>
      <c r="H26" s="73"/>
      <c r="I26" s="73"/>
      <c r="J26" s="73"/>
      <c r="K26" s="73"/>
      <c r="L26" s="73"/>
      <c r="M26" s="73"/>
      <c r="N26" s="73"/>
      <c r="O26" s="73"/>
      <c r="P26" s="73"/>
      <c r="Q26" s="73"/>
      <c r="R26" s="73"/>
      <c r="S26" s="73"/>
      <c r="T26" s="73"/>
      <c r="U26" s="74"/>
    </row>
    <row r="27" spans="2:21" s="15" customFormat="1" x14ac:dyDescent="0.25">
      <c r="B27" s="72" t="s">
        <v>3062</v>
      </c>
      <c r="C27" s="73"/>
      <c r="D27" s="73"/>
      <c r="E27" s="73"/>
      <c r="F27" s="73"/>
      <c r="G27" s="73"/>
      <c r="H27" s="73"/>
      <c r="I27" s="73"/>
      <c r="J27" s="73"/>
      <c r="K27" s="73"/>
      <c r="L27" s="73"/>
      <c r="M27" s="73"/>
      <c r="N27" s="73"/>
      <c r="O27" s="73"/>
      <c r="P27" s="73"/>
      <c r="Q27" s="73"/>
      <c r="R27" s="73"/>
      <c r="S27" s="73"/>
      <c r="T27" s="73"/>
      <c r="U27" s="74"/>
    </row>
    <row r="28" spans="2:21" s="15" customFormat="1" x14ac:dyDescent="0.25">
      <c r="B28" s="72" t="s">
        <v>3063</v>
      </c>
      <c r="C28" s="73"/>
      <c r="D28" s="73"/>
      <c r="E28" s="73"/>
      <c r="F28" s="73"/>
      <c r="G28" s="73"/>
      <c r="H28" s="73"/>
      <c r="I28" s="73"/>
      <c r="J28" s="73"/>
      <c r="K28" s="73"/>
      <c r="L28" s="73"/>
      <c r="M28" s="73"/>
      <c r="N28" s="73"/>
      <c r="O28" s="73"/>
      <c r="P28" s="73"/>
      <c r="Q28" s="73"/>
      <c r="R28" s="73"/>
      <c r="S28" s="73"/>
      <c r="T28" s="73"/>
      <c r="U28" s="74"/>
    </row>
    <row r="29" spans="2:21" s="15" customFormat="1" x14ac:dyDescent="0.25">
      <c r="B29" s="72" t="s">
        <v>3064</v>
      </c>
      <c r="C29" s="73"/>
      <c r="D29" s="73"/>
      <c r="E29" s="73"/>
      <c r="F29" s="73"/>
      <c r="G29" s="73"/>
      <c r="H29" s="73"/>
      <c r="I29" s="73"/>
      <c r="J29" s="73"/>
      <c r="K29" s="73"/>
      <c r="L29" s="73"/>
      <c r="M29" s="73"/>
      <c r="N29" s="73"/>
      <c r="O29" s="73"/>
      <c r="P29" s="73"/>
      <c r="Q29" s="73"/>
      <c r="R29" s="73"/>
      <c r="S29" s="73"/>
      <c r="T29" s="73"/>
      <c r="U29" s="74"/>
    </row>
    <row r="30" spans="2:21" s="15" customFormat="1" x14ac:dyDescent="0.25">
      <c r="B30" s="72" t="s">
        <v>3065</v>
      </c>
      <c r="C30" s="73"/>
      <c r="D30" s="73"/>
      <c r="E30" s="73"/>
      <c r="F30" s="73"/>
      <c r="G30" s="73"/>
      <c r="H30" s="73"/>
      <c r="I30" s="73"/>
      <c r="J30" s="73"/>
      <c r="K30" s="73"/>
      <c r="L30" s="73"/>
      <c r="M30" s="73"/>
      <c r="N30" s="73"/>
      <c r="O30" s="73"/>
      <c r="P30" s="73"/>
      <c r="Q30" s="73"/>
      <c r="R30" s="73"/>
      <c r="S30" s="73"/>
      <c r="T30" s="73"/>
      <c r="U30" s="74"/>
    </row>
    <row r="31" spans="2:21" s="15" customFormat="1" x14ac:dyDescent="0.25">
      <c r="B31" s="72" t="s">
        <v>3066</v>
      </c>
      <c r="C31" s="73"/>
      <c r="D31" s="73"/>
      <c r="E31" s="73"/>
      <c r="F31" s="73"/>
      <c r="G31" s="73"/>
      <c r="H31" s="73"/>
      <c r="I31" s="73"/>
      <c r="J31" s="73"/>
      <c r="K31" s="73"/>
      <c r="L31" s="73"/>
      <c r="M31" s="73"/>
      <c r="N31" s="73"/>
      <c r="O31" s="73"/>
      <c r="P31" s="73"/>
      <c r="Q31" s="73"/>
      <c r="R31" s="73"/>
      <c r="S31" s="73"/>
      <c r="T31" s="73"/>
      <c r="U31" s="74"/>
    </row>
    <row r="32" spans="2:21" s="15" customFormat="1" x14ac:dyDescent="0.25">
      <c r="B32" s="72" t="s">
        <v>3067</v>
      </c>
      <c r="C32" s="73"/>
      <c r="D32" s="73"/>
      <c r="E32" s="73"/>
      <c r="F32" s="73"/>
      <c r="G32" s="73"/>
      <c r="H32" s="73"/>
      <c r="I32" s="73"/>
      <c r="J32" s="73"/>
      <c r="K32" s="73"/>
      <c r="L32" s="73"/>
      <c r="M32" s="73"/>
      <c r="N32" s="73"/>
      <c r="O32" s="73"/>
      <c r="P32" s="73"/>
      <c r="Q32" s="73"/>
      <c r="R32" s="73"/>
      <c r="S32" s="73"/>
      <c r="T32" s="73"/>
      <c r="U32" s="74"/>
    </row>
    <row r="33" spans="2:21" s="15" customFormat="1" x14ac:dyDescent="0.25">
      <c r="B33" s="72" t="s">
        <v>3068</v>
      </c>
      <c r="C33" s="73"/>
      <c r="D33" s="73"/>
      <c r="E33" s="73"/>
      <c r="F33" s="73"/>
      <c r="G33" s="73"/>
      <c r="H33" s="73"/>
      <c r="I33" s="73"/>
      <c r="J33" s="73"/>
      <c r="K33" s="73"/>
      <c r="L33" s="73"/>
      <c r="M33" s="73"/>
      <c r="N33" s="73"/>
      <c r="O33" s="73"/>
      <c r="P33" s="73"/>
      <c r="Q33" s="73"/>
      <c r="R33" s="73"/>
      <c r="S33" s="73"/>
      <c r="T33" s="73"/>
      <c r="U33" s="74"/>
    </row>
    <row r="34" spans="2:21" s="15" customFormat="1" x14ac:dyDescent="0.25">
      <c r="B34" s="72" t="s">
        <v>3069</v>
      </c>
      <c r="C34" s="73"/>
      <c r="D34" s="73"/>
      <c r="E34" s="73"/>
      <c r="F34" s="73"/>
      <c r="G34" s="73"/>
      <c r="H34" s="73"/>
      <c r="I34" s="73"/>
      <c r="J34" s="73"/>
      <c r="K34" s="73"/>
      <c r="L34" s="73"/>
      <c r="M34" s="73"/>
      <c r="N34" s="73"/>
      <c r="O34" s="73"/>
      <c r="P34" s="73"/>
      <c r="Q34" s="73"/>
      <c r="R34" s="73"/>
      <c r="S34" s="73"/>
      <c r="T34" s="73"/>
      <c r="U34" s="74"/>
    </row>
    <row r="35" spans="2:21" s="15" customFormat="1" x14ac:dyDescent="0.25">
      <c r="B35" s="72" t="s">
        <v>3070</v>
      </c>
      <c r="C35" s="73"/>
      <c r="D35" s="73"/>
      <c r="E35" s="73"/>
      <c r="F35" s="73"/>
      <c r="G35" s="73"/>
      <c r="H35" s="73"/>
      <c r="I35" s="73"/>
      <c r="J35" s="73"/>
      <c r="K35" s="73"/>
      <c r="L35" s="73"/>
      <c r="M35" s="73"/>
      <c r="N35" s="73"/>
      <c r="O35" s="73"/>
      <c r="P35" s="73"/>
      <c r="Q35" s="73"/>
      <c r="R35" s="73"/>
      <c r="S35" s="73"/>
      <c r="T35" s="73"/>
      <c r="U35" s="74"/>
    </row>
    <row r="36" spans="2:21" s="15" customFormat="1" x14ac:dyDescent="0.25">
      <c r="B36" s="72" t="s">
        <v>3071</v>
      </c>
      <c r="C36" s="73"/>
      <c r="D36" s="73"/>
      <c r="E36" s="73"/>
      <c r="F36" s="73"/>
      <c r="G36" s="73"/>
      <c r="H36" s="73"/>
      <c r="I36" s="73"/>
      <c r="J36" s="73"/>
      <c r="K36" s="73"/>
      <c r="L36" s="73"/>
      <c r="M36" s="73"/>
      <c r="N36" s="73"/>
      <c r="O36" s="73"/>
      <c r="P36" s="73"/>
      <c r="Q36" s="73"/>
      <c r="R36" s="73"/>
      <c r="S36" s="73"/>
      <c r="T36" s="73"/>
      <c r="U36" s="74"/>
    </row>
    <row r="37" spans="2:21" s="15" customFormat="1" x14ac:dyDescent="0.25">
      <c r="B37" s="72" t="s">
        <v>3072</v>
      </c>
      <c r="C37" s="73"/>
      <c r="D37" s="73"/>
      <c r="E37" s="73"/>
      <c r="F37" s="73"/>
      <c r="G37" s="73"/>
      <c r="H37" s="73"/>
      <c r="I37" s="73"/>
      <c r="J37" s="73"/>
      <c r="K37" s="73"/>
      <c r="L37" s="73"/>
      <c r="M37" s="73"/>
      <c r="N37" s="73"/>
      <c r="O37" s="73"/>
      <c r="P37" s="73"/>
      <c r="Q37" s="73"/>
      <c r="R37" s="73"/>
      <c r="S37" s="73"/>
      <c r="T37" s="73"/>
      <c r="U37" s="74"/>
    </row>
    <row r="38" spans="2:21" s="15" customFormat="1" x14ac:dyDescent="0.25">
      <c r="B38" s="72" t="s">
        <v>3073</v>
      </c>
      <c r="C38" s="73"/>
      <c r="D38" s="73"/>
      <c r="E38" s="73"/>
      <c r="F38" s="73"/>
      <c r="G38" s="73"/>
      <c r="H38" s="73"/>
      <c r="I38" s="73"/>
      <c r="J38" s="73"/>
      <c r="K38" s="73"/>
      <c r="L38" s="73"/>
      <c r="M38" s="73"/>
      <c r="N38" s="73"/>
      <c r="O38" s="73"/>
      <c r="P38" s="73"/>
      <c r="Q38" s="73"/>
      <c r="R38" s="73"/>
      <c r="S38" s="73"/>
      <c r="T38" s="73"/>
      <c r="U38" s="74"/>
    </row>
    <row r="39" spans="2:21" s="15" customFormat="1" x14ac:dyDescent="0.25">
      <c r="B39" s="72" t="s">
        <v>3074</v>
      </c>
      <c r="C39" s="73"/>
      <c r="D39" s="73"/>
      <c r="E39" s="73"/>
      <c r="F39" s="73"/>
      <c r="G39" s="73"/>
      <c r="H39" s="73"/>
      <c r="I39" s="73"/>
      <c r="J39" s="73"/>
      <c r="K39" s="73"/>
      <c r="L39" s="73"/>
      <c r="M39" s="73"/>
      <c r="N39" s="73"/>
      <c r="O39" s="73"/>
      <c r="P39" s="73"/>
      <c r="Q39" s="73"/>
      <c r="R39" s="73"/>
      <c r="S39" s="73"/>
      <c r="T39" s="73"/>
      <c r="U39" s="74"/>
    </row>
    <row r="40" spans="2:21" s="15" customFormat="1" x14ac:dyDescent="0.25">
      <c r="B40" s="72" t="s">
        <v>3075</v>
      </c>
      <c r="C40" s="73"/>
      <c r="D40" s="73"/>
      <c r="E40" s="73"/>
      <c r="F40" s="73"/>
      <c r="G40" s="73"/>
      <c r="H40" s="73"/>
      <c r="I40" s="73"/>
      <c r="J40" s="73"/>
      <c r="K40" s="73"/>
      <c r="L40" s="73"/>
      <c r="M40" s="73"/>
      <c r="N40" s="73"/>
      <c r="O40" s="73"/>
      <c r="P40" s="73"/>
      <c r="Q40" s="73"/>
      <c r="R40" s="73"/>
      <c r="S40" s="73"/>
      <c r="T40" s="73"/>
      <c r="U40" s="74"/>
    </row>
    <row r="41" spans="2:21" s="15" customFormat="1" x14ac:dyDescent="0.25">
      <c r="B41" s="72" t="s">
        <v>3076</v>
      </c>
      <c r="C41" s="73"/>
      <c r="D41" s="73"/>
      <c r="E41" s="73"/>
      <c r="F41" s="73"/>
      <c r="G41" s="73"/>
      <c r="H41" s="73"/>
      <c r="I41" s="73"/>
      <c r="J41" s="73"/>
      <c r="K41" s="73"/>
      <c r="L41" s="73"/>
      <c r="M41" s="73"/>
      <c r="N41" s="73"/>
      <c r="O41" s="73"/>
      <c r="P41" s="73"/>
      <c r="Q41" s="73"/>
      <c r="R41" s="73"/>
      <c r="S41" s="73"/>
      <c r="T41" s="73"/>
      <c r="U41" s="74"/>
    </row>
    <row r="42" spans="2:21" s="15" customFormat="1" x14ac:dyDescent="0.25">
      <c r="B42" s="72" t="s">
        <v>3077</v>
      </c>
      <c r="C42" s="73"/>
      <c r="D42" s="73"/>
      <c r="E42" s="73"/>
      <c r="F42" s="73"/>
      <c r="G42" s="73"/>
      <c r="H42" s="73"/>
      <c r="I42" s="73"/>
      <c r="J42" s="73"/>
      <c r="K42" s="73"/>
      <c r="L42" s="73"/>
      <c r="M42" s="73"/>
      <c r="N42" s="73"/>
      <c r="O42" s="73"/>
      <c r="P42" s="73"/>
      <c r="Q42" s="73"/>
      <c r="R42" s="73"/>
      <c r="S42" s="73"/>
      <c r="T42" s="73"/>
      <c r="U42" s="74"/>
    </row>
    <row r="43" spans="2:21" s="15" customFormat="1" x14ac:dyDescent="0.25">
      <c r="B43" s="72" t="s">
        <v>3078</v>
      </c>
      <c r="C43" s="73"/>
      <c r="D43" s="73"/>
      <c r="E43" s="73"/>
      <c r="F43" s="73"/>
      <c r="G43" s="73"/>
      <c r="H43" s="73"/>
      <c r="I43" s="73"/>
      <c r="J43" s="73"/>
      <c r="K43" s="73"/>
      <c r="L43" s="73"/>
      <c r="M43" s="73"/>
      <c r="N43" s="73"/>
      <c r="O43" s="73"/>
      <c r="P43" s="73"/>
      <c r="Q43" s="73"/>
      <c r="R43" s="73"/>
      <c r="S43" s="73"/>
      <c r="T43" s="73"/>
      <c r="U43" s="74"/>
    </row>
    <row r="44" spans="2:21" s="15" customFormat="1" x14ac:dyDescent="0.25">
      <c r="B44" s="72" t="s">
        <v>3079</v>
      </c>
      <c r="C44" s="73"/>
      <c r="D44" s="73"/>
      <c r="E44" s="73"/>
      <c r="F44" s="73"/>
      <c r="G44" s="73"/>
      <c r="H44" s="73"/>
      <c r="I44" s="73"/>
      <c r="J44" s="73"/>
      <c r="K44" s="73"/>
      <c r="L44" s="73"/>
      <c r="M44" s="73"/>
      <c r="N44" s="73"/>
      <c r="O44" s="73"/>
      <c r="P44" s="73"/>
      <c r="Q44" s="73"/>
      <c r="R44" s="73"/>
      <c r="S44" s="73"/>
      <c r="T44" s="73"/>
      <c r="U44" s="74"/>
    </row>
    <row r="45" spans="2:21" s="15" customFormat="1" x14ac:dyDescent="0.25">
      <c r="B45" s="72" t="s">
        <v>3080</v>
      </c>
      <c r="C45" s="73"/>
      <c r="D45" s="73"/>
      <c r="E45" s="73"/>
      <c r="F45" s="73"/>
      <c r="G45" s="73"/>
      <c r="H45" s="73"/>
      <c r="I45" s="73"/>
      <c r="J45" s="73"/>
      <c r="K45" s="73"/>
      <c r="L45" s="73"/>
      <c r="M45" s="73"/>
      <c r="N45" s="73"/>
      <c r="O45" s="73"/>
      <c r="P45" s="73"/>
      <c r="Q45" s="73"/>
      <c r="R45" s="73"/>
      <c r="S45" s="73"/>
      <c r="T45" s="73"/>
      <c r="U45" s="74"/>
    </row>
    <row r="46" spans="2:21" s="15" customFormat="1" x14ac:dyDescent="0.25">
      <c r="B46" s="72" t="s">
        <v>3081</v>
      </c>
      <c r="C46" s="73"/>
      <c r="D46" s="73"/>
      <c r="E46" s="73"/>
      <c r="F46" s="73"/>
      <c r="G46" s="73"/>
      <c r="H46" s="73"/>
      <c r="I46" s="73"/>
      <c r="J46" s="73"/>
      <c r="K46" s="73"/>
      <c r="L46" s="73"/>
      <c r="M46" s="73"/>
      <c r="N46" s="73"/>
      <c r="O46" s="73"/>
      <c r="P46" s="73"/>
      <c r="Q46" s="73"/>
      <c r="R46" s="73"/>
      <c r="S46" s="73"/>
      <c r="T46" s="73"/>
      <c r="U46" s="74"/>
    </row>
    <row r="47" spans="2:21" s="15" customFormat="1" x14ac:dyDescent="0.25">
      <c r="B47" s="72" t="s">
        <v>3082</v>
      </c>
      <c r="C47" s="73"/>
      <c r="D47" s="73"/>
      <c r="E47" s="73"/>
      <c r="F47" s="73"/>
      <c r="G47" s="73"/>
      <c r="H47" s="73"/>
      <c r="I47" s="73"/>
      <c r="J47" s="73"/>
      <c r="K47" s="73"/>
      <c r="L47" s="73"/>
      <c r="M47" s="73"/>
      <c r="N47" s="73"/>
      <c r="O47" s="73"/>
      <c r="P47" s="73"/>
      <c r="Q47" s="73"/>
      <c r="R47" s="73"/>
      <c r="S47" s="73"/>
      <c r="T47" s="73"/>
      <c r="U47" s="74"/>
    </row>
    <row r="48" spans="2:21" s="15" customFormat="1" x14ac:dyDescent="0.25">
      <c r="B48" s="72" t="s">
        <v>3083</v>
      </c>
      <c r="C48" s="73"/>
      <c r="D48" s="73"/>
      <c r="E48" s="73"/>
      <c r="F48" s="73"/>
      <c r="G48" s="73"/>
      <c r="H48" s="73"/>
      <c r="I48" s="73"/>
      <c r="J48" s="73"/>
      <c r="K48" s="73"/>
      <c r="L48" s="73"/>
      <c r="M48" s="73"/>
      <c r="N48" s="73"/>
      <c r="O48" s="73"/>
      <c r="P48" s="73"/>
      <c r="Q48" s="73"/>
      <c r="R48" s="73"/>
      <c r="S48" s="73"/>
      <c r="T48" s="73"/>
      <c r="U48" s="74"/>
    </row>
    <row r="49" spans="2:21" s="15" customFormat="1" x14ac:dyDescent="0.25">
      <c r="B49" s="72" t="s">
        <v>3058</v>
      </c>
      <c r="C49" s="73"/>
      <c r="D49" s="73"/>
      <c r="E49" s="73"/>
      <c r="F49" s="73"/>
      <c r="G49" s="73"/>
      <c r="H49" s="73"/>
      <c r="I49" s="73"/>
      <c r="J49" s="73"/>
      <c r="K49" s="73"/>
      <c r="L49" s="73"/>
      <c r="M49" s="73"/>
      <c r="N49" s="73"/>
      <c r="O49" s="73"/>
      <c r="P49" s="73"/>
      <c r="Q49" s="73"/>
      <c r="R49" s="73"/>
      <c r="S49" s="73"/>
      <c r="T49" s="73"/>
      <c r="U49" s="74"/>
    </row>
    <row r="50" spans="2:21" s="15" customFormat="1" x14ac:dyDescent="0.25">
      <c r="B50" s="72" t="s">
        <v>3084</v>
      </c>
      <c r="C50" s="73"/>
      <c r="D50" s="73"/>
      <c r="E50" s="73"/>
      <c r="F50" s="73"/>
      <c r="G50" s="73"/>
      <c r="H50" s="73"/>
      <c r="I50" s="73"/>
      <c r="J50" s="73"/>
      <c r="K50" s="73"/>
      <c r="L50" s="73"/>
      <c r="M50" s="73"/>
      <c r="N50" s="73"/>
      <c r="O50" s="73"/>
      <c r="P50" s="73"/>
      <c r="Q50" s="73"/>
      <c r="R50" s="73"/>
      <c r="S50" s="73"/>
      <c r="T50" s="73"/>
      <c r="U50" s="74"/>
    </row>
    <row r="51" spans="2:21" s="15" customFormat="1" x14ac:dyDescent="0.25">
      <c r="B51" s="72" t="s">
        <v>3085</v>
      </c>
      <c r="C51" s="73"/>
      <c r="D51" s="73"/>
      <c r="E51" s="73"/>
      <c r="F51" s="73"/>
      <c r="G51" s="73"/>
      <c r="H51" s="73"/>
      <c r="I51" s="73"/>
      <c r="J51" s="73"/>
      <c r="K51" s="73"/>
      <c r="L51" s="73"/>
      <c r="M51" s="73"/>
      <c r="N51" s="73"/>
      <c r="O51" s="73"/>
      <c r="P51" s="73"/>
      <c r="Q51" s="73"/>
      <c r="R51" s="73"/>
      <c r="S51" s="73"/>
      <c r="T51" s="73"/>
      <c r="U51" s="74"/>
    </row>
    <row r="52" spans="2:21" s="15" customFormat="1" x14ac:dyDescent="0.25">
      <c r="B52" s="72" t="s">
        <v>3086</v>
      </c>
      <c r="C52" s="73"/>
      <c r="D52" s="73"/>
      <c r="E52" s="73"/>
      <c r="F52" s="73"/>
      <c r="G52" s="73"/>
      <c r="H52" s="73"/>
      <c r="I52" s="73"/>
      <c r="J52" s="73"/>
      <c r="K52" s="73"/>
      <c r="L52" s="73"/>
      <c r="M52" s="73"/>
      <c r="N52" s="73"/>
      <c r="O52" s="73"/>
      <c r="P52" s="73"/>
      <c r="Q52" s="73"/>
      <c r="R52" s="73"/>
      <c r="S52" s="73"/>
      <c r="T52" s="73"/>
      <c r="U52" s="74"/>
    </row>
    <row r="53" spans="2:21" s="15" customFormat="1" x14ac:dyDescent="0.25">
      <c r="B53" s="72" t="s">
        <v>3087</v>
      </c>
      <c r="C53" s="73"/>
      <c r="D53" s="73"/>
      <c r="E53" s="73"/>
      <c r="F53" s="73"/>
      <c r="G53" s="73"/>
      <c r="H53" s="73"/>
      <c r="I53" s="73"/>
      <c r="J53" s="73"/>
      <c r="K53" s="73"/>
      <c r="L53" s="73"/>
      <c r="M53" s="73"/>
      <c r="N53" s="73"/>
      <c r="O53" s="73"/>
      <c r="P53" s="73"/>
      <c r="Q53" s="73"/>
      <c r="R53" s="73"/>
      <c r="S53" s="73"/>
      <c r="T53" s="73"/>
      <c r="U53" s="74"/>
    </row>
    <row r="54" spans="2:21" s="15" customFormat="1" x14ac:dyDescent="0.25">
      <c r="B54" s="72" t="s">
        <v>3088</v>
      </c>
      <c r="C54" s="73"/>
      <c r="D54" s="73"/>
      <c r="E54" s="73"/>
      <c r="F54" s="73"/>
      <c r="G54" s="73"/>
      <c r="H54" s="73"/>
      <c r="I54" s="73"/>
      <c r="J54" s="73"/>
      <c r="K54" s="73"/>
      <c r="L54" s="73"/>
      <c r="M54" s="73"/>
      <c r="N54" s="73"/>
      <c r="O54" s="73"/>
      <c r="P54" s="73"/>
      <c r="Q54" s="73"/>
      <c r="R54" s="73"/>
      <c r="S54" s="73"/>
      <c r="T54" s="73"/>
      <c r="U54" s="74"/>
    </row>
    <row r="55" spans="2:21" s="15" customFormat="1" x14ac:dyDescent="0.25">
      <c r="B55" s="72" t="s">
        <v>3089</v>
      </c>
      <c r="C55" s="73"/>
      <c r="D55" s="73"/>
      <c r="E55" s="73"/>
      <c r="F55" s="73"/>
      <c r="G55" s="73"/>
      <c r="H55" s="73"/>
      <c r="I55" s="73"/>
      <c r="J55" s="73"/>
      <c r="K55" s="73"/>
      <c r="L55" s="73"/>
      <c r="M55" s="73"/>
      <c r="N55" s="73"/>
      <c r="O55" s="73"/>
      <c r="P55" s="73"/>
      <c r="Q55" s="73"/>
      <c r="R55" s="73"/>
      <c r="S55" s="73"/>
      <c r="T55" s="73"/>
      <c r="U55" s="74"/>
    </row>
    <row r="56" spans="2:21" s="15" customFormat="1" x14ac:dyDescent="0.25">
      <c r="B56" s="72" t="s">
        <v>3090</v>
      </c>
      <c r="C56" s="73"/>
      <c r="D56" s="73"/>
      <c r="E56" s="73"/>
      <c r="F56" s="73"/>
      <c r="G56" s="73"/>
      <c r="H56" s="73"/>
      <c r="I56" s="73"/>
      <c r="J56" s="73"/>
      <c r="K56" s="73"/>
      <c r="L56" s="73"/>
      <c r="M56" s="73"/>
      <c r="N56" s="73"/>
      <c r="O56" s="73"/>
      <c r="P56" s="73"/>
      <c r="Q56" s="73"/>
      <c r="R56" s="73"/>
      <c r="S56" s="73"/>
      <c r="T56" s="73"/>
      <c r="U56" s="74"/>
    </row>
    <row r="57" spans="2:21" s="15" customFormat="1" x14ac:dyDescent="0.25">
      <c r="B57" s="72" t="s">
        <v>3091</v>
      </c>
      <c r="C57" s="73"/>
      <c r="D57" s="73"/>
      <c r="E57" s="73"/>
      <c r="F57" s="73"/>
      <c r="G57" s="73"/>
      <c r="H57" s="73"/>
      <c r="I57" s="73"/>
      <c r="J57" s="73"/>
      <c r="K57" s="73"/>
      <c r="L57" s="73"/>
      <c r="M57" s="73"/>
      <c r="N57" s="73"/>
      <c r="O57" s="73"/>
      <c r="P57" s="73"/>
      <c r="Q57" s="73"/>
      <c r="R57" s="73"/>
      <c r="S57" s="73"/>
      <c r="T57" s="73"/>
      <c r="U57" s="74"/>
    </row>
    <row r="58" spans="2:21" s="15" customFormat="1" x14ac:dyDescent="0.25">
      <c r="B58" s="72" t="s">
        <v>3092</v>
      </c>
      <c r="C58" s="73"/>
      <c r="D58" s="73"/>
      <c r="E58" s="73"/>
      <c r="F58" s="73"/>
      <c r="G58" s="73"/>
      <c r="H58" s="73"/>
      <c r="I58" s="73"/>
      <c r="J58" s="73"/>
      <c r="K58" s="73"/>
      <c r="L58" s="73"/>
      <c r="M58" s="73"/>
      <c r="N58" s="73"/>
      <c r="O58" s="73"/>
      <c r="P58" s="73"/>
      <c r="Q58" s="73"/>
      <c r="R58" s="73"/>
      <c r="S58" s="73"/>
      <c r="T58" s="73"/>
      <c r="U58" s="74"/>
    </row>
    <row r="59" spans="2:21" s="15" customFormat="1" x14ac:dyDescent="0.25">
      <c r="B59" s="72" t="s">
        <v>3083</v>
      </c>
      <c r="C59" s="73"/>
      <c r="D59" s="73"/>
      <c r="E59" s="73"/>
      <c r="F59" s="73"/>
      <c r="G59" s="73"/>
      <c r="H59" s="73"/>
      <c r="I59" s="73"/>
      <c r="J59" s="73"/>
      <c r="K59" s="73"/>
      <c r="L59" s="73"/>
      <c r="M59" s="73"/>
      <c r="N59" s="73"/>
      <c r="O59" s="73"/>
      <c r="P59" s="73"/>
      <c r="Q59" s="73"/>
      <c r="R59" s="73"/>
      <c r="S59" s="73"/>
      <c r="T59" s="73"/>
      <c r="U59" s="74"/>
    </row>
    <row r="60" spans="2:21" s="15" customFormat="1" x14ac:dyDescent="0.25">
      <c r="B60" s="72" t="s">
        <v>3093</v>
      </c>
      <c r="C60" s="73"/>
      <c r="D60" s="73"/>
      <c r="E60" s="73"/>
      <c r="F60" s="73"/>
      <c r="G60" s="73"/>
      <c r="H60" s="73"/>
      <c r="I60" s="73"/>
      <c r="J60" s="73"/>
      <c r="K60" s="73"/>
      <c r="L60" s="73"/>
      <c r="M60" s="73"/>
      <c r="N60" s="73"/>
      <c r="O60" s="73"/>
      <c r="P60" s="73"/>
      <c r="Q60" s="73"/>
      <c r="R60" s="73"/>
      <c r="S60" s="73"/>
      <c r="T60" s="73"/>
      <c r="U60" s="74"/>
    </row>
    <row r="61" spans="2:21" s="15" customFormat="1" x14ac:dyDescent="0.25">
      <c r="B61" s="72" t="s">
        <v>3094</v>
      </c>
      <c r="C61" s="73"/>
      <c r="D61" s="73"/>
      <c r="E61" s="73"/>
      <c r="F61" s="73"/>
      <c r="G61" s="73"/>
      <c r="H61" s="73"/>
      <c r="I61" s="73"/>
      <c r="J61" s="73"/>
      <c r="K61" s="73"/>
      <c r="L61" s="73"/>
      <c r="M61" s="73"/>
      <c r="N61" s="73"/>
      <c r="O61" s="73"/>
      <c r="P61" s="73"/>
      <c r="Q61" s="73"/>
      <c r="R61" s="73"/>
      <c r="S61" s="73"/>
      <c r="T61" s="73"/>
      <c r="U61" s="74"/>
    </row>
    <row r="62" spans="2:21" s="15" customFormat="1" x14ac:dyDescent="0.25">
      <c r="B62" s="72" t="s">
        <v>3095</v>
      </c>
      <c r="C62" s="73"/>
      <c r="D62" s="73"/>
      <c r="E62" s="73"/>
      <c r="F62" s="73"/>
      <c r="G62" s="73"/>
      <c r="H62" s="73"/>
      <c r="I62" s="73"/>
      <c r="J62" s="73"/>
      <c r="K62" s="73"/>
      <c r="L62" s="73"/>
      <c r="M62" s="73"/>
      <c r="N62" s="73"/>
      <c r="O62" s="73"/>
      <c r="P62" s="73"/>
      <c r="Q62" s="73"/>
      <c r="R62" s="73"/>
      <c r="S62" s="73"/>
      <c r="T62" s="73"/>
      <c r="U62" s="74"/>
    </row>
    <row r="63" spans="2:21" s="15" customFormat="1" x14ac:dyDescent="0.25">
      <c r="B63" s="72" t="s">
        <v>3096</v>
      </c>
      <c r="C63" s="73"/>
      <c r="D63" s="73"/>
      <c r="E63" s="73"/>
      <c r="F63" s="73"/>
      <c r="G63" s="73"/>
      <c r="H63" s="73"/>
      <c r="I63" s="73"/>
      <c r="J63" s="73"/>
      <c r="K63" s="73"/>
      <c r="L63" s="73"/>
      <c r="M63" s="73"/>
      <c r="N63" s="73"/>
      <c r="O63" s="73"/>
      <c r="P63" s="73"/>
      <c r="Q63" s="73"/>
      <c r="R63" s="73"/>
      <c r="S63" s="73"/>
      <c r="T63" s="73"/>
      <c r="U63" s="74"/>
    </row>
    <row r="64" spans="2:21" s="15" customFormat="1" x14ac:dyDescent="0.25">
      <c r="B64" s="72" t="s">
        <v>3097</v>
      </c>
      <c r="C64" s="73"/>
      <c r="D64" s="73"/>
      <c r="E64" s="73"/>
      <c r="F64" s="73"/>
      <c r="G64" s="73"/>
      <c r="H64" s="73"/>
      <c r="I64" s="73"/>
      <c r="J64" s="73"/>
      <c r="K64" s="73"/>
      <c r="L64" s="73"/>
      <c r="M64" s="73"/>
      <c r="N64" s="73"/>
      <c r="O64" s="73"/>
      <c r="P64" s="73"/>
      <c r="Q64" s="73"/>
      <c r="R64" s="73"/>
      <c r="S64" s="73"/>
      <c r="T64" s="73"/>
      <c r="U64" s="74"/>
    </row>
    <row r="65" spans="2:21" s="15" customFormat="1" x14ac:dyDescent="0.25">
      <c r="B65" s="72" t="s">
        <v>3098</v>
      </c>
      <c r="C65" s="73"/>
      <c r="D65" s="73"/>
      <c r="E65" s="73"/>
      <c r="F65" s="73"/>
      <c r="G65" s="73"/>
      <c r="H65" s="73"/>
      <c r="I65" s="73"/>
      <c r="J65" s="73"/>
      <c r="K65" s="73"/>
      <c r="L65" s="73"/>
      <c r="M65" s="73"/>
      <c r="N65" s="73"/>
      <c r="O65" s="73"/>
      <c r="P65" s="73"/>
      <c r="Q65" s="73"/>
      <c r="R65" s="73"/>
      <c r="S65" s="73"/>
      <c r="T65" s="73"/>
      <c r="U65" s="74"/>
    </row>
    <row r="66" spans="2:21" s="15" customFormat="1" x14ac:dyDescent="0.25">
      <c r="B66" s="72" t="s">
        <v>3099</v>
      </c>
      <c r="C66" s="73"/>
      <c r="D66" s="73"/>
      <c r="E66" s="73"/>
      <c r="F66" s="73"/>
      <c r="G66" s="73"/>
      <c r="H66" s="73"/>
      <c r="I66" s="73"/>
      <c r="J66" s="73"/>
      <c r="K66" s="73"/>
      <c r="L66" s="73"/>
      <c r="M66" s="73"/>
      <c r="N66" s="73"/>
      <c r="O66" s="73"/>
      <c r="P66" s="73"/>
      <c r="Q66" s="73"/>
      <c r="R66" s="73"/>
      <c r="S66" s="73"/>
      <c r="T66" s="73"/>
      <c r="U66" s="74"/>
    </row>
    <row r="67" spans="2:21" s="15" customFormat="1" x14ac:dyDescent="0.25">
      <c r="B67" s="72" t="s">
        <v>3100</v>
      </c>
      <c r="C67" s="73"/>
      <c r="D67" s="73"/>
      <c r="E67" s="73"/>
      <c r="F67" s="73"/>
      <c r="G67" s="73"/>
      <c r="H67" s="73"/>
      <c r="I67" s="73"/>
      <c r="J67" s="73"/>
      <c r="K67" s="73"/>
      <c r="L67" s="73"/>
      <c r="M67" s="73"/>
      <c r="N67" s="73"/>
      <c r="O67" s="73"/>
      <c r="P67" s="73"/>
      <c r="Q67" s="73"/>
      <c r="R67" s="73"/>
      <c r="S67" s="73"/>
      <c r="T67" s="73"/>
      <c r="U67" s="74"/>
    </row>
    <row r="68" spans="2:21" s="15" customFormat="1" x14ac:dyDescent="0.25">
      <c r="B68" s="72" t="s">
        <v>3101</v>
      </c>
      <c r="C68" s="73"/>
      <c r="D68" s="73"/>
      <c r="E68" s="73"/>
      <c r="F68" s="73"/>
      <c r="G68" s="73"/>
      <c r="H68" s="73"/>
      <c r="I68" s="73"/>
      <c r="J68" s="73"/>
      <c r="K68" s="73"/>
      <c r="L68" s="73"/>
      <c r="M68" s="73"/>
      <c r="N68" s="73"/>
      <c r="O68" s="73"/>
      <c r="P68" s="73"/>
      <c r="Q68" s="73"/>
      <c r="R68" s="73"/>
      <c r="S68" s="73"/>
      <c r="T68" s="73"/>
      <c r="U68" s="74"/>
    </row>
    <row r="69" spans="2:21" s="15" customFormat="1" x14ac:dyDescent="0.25">
      <c r="B69" s="72" t="s">
        <v>3102</v>
      </c>
      <c r="C69" s="73"/>
      <c r="D69" s="73"/>
      <c r="E69" s="73"/>
      <c r="F69" s="73"/>
      <c r="G69" s="73"/>
      <c r="H69" s="73"/>
      <c r="I69" s="73"/>
      <c r="J69" s="73"/>
      <c r="K69" s="73"/>
      <c r="L69" s="73"/>
      <c r="M69" s="73"/>
      <c r="N69" s="73"/>
      <c r="O69" s="73"/>
      <c r="P69" s="73"/>
      <c r="Q69" s="73"/>
      <c r="R69" s="73"/>
      <c r="S69" s="73"/>
      <c r="T69" s="73"/>
      <c r="U69" s="74"/>
    </row>
    <row r="70" spans="2:21" s="15" customFormat="1" x14ac:dyDescent="0.25">
      <c r="B70" s="72" t="s">
        <v>3103</v>
      </c>
      <c r="C70" s="73"/>
      <c r="D70" s="73"/>
      <c r="E70" s="73"/>
      <c r="F70" s="73"/>
      <c r="G70" s="73"/>
      <c r="H70" s="73"/>
      <c r="I70" s="73"/>
      <c r="J70" s="73"/>
      <c r="K70" s="73"/>
      <c r="L70" s="73"/>
      <c r="M70" s="73"/>
      <c r="N70" s="73"/>
      <c r="O70" s="73"/>
      <c r="P70" s="73"/>
      <c r="Q70" s="73"/>
      <c r="R70" s="73"/>
      <c r="S70" s="73"/>
      <c r="T70" s="73"/>
      <c r="U70" s="74"/>
    </row>
    <row r="71" spans="2:21" s="15" customFormat="1" x14ac:dyDescent="0.25">
      <c r="B71" s="72" t="s">
        <v>3104</v>
      </c>
      <c r="C71" s="73"/>
      <c r="D71" s="73"/>
      <c r="E71" s="73"/>
      <c r="F71" s="73"/>
      <c r="G71" s="73"/>
      <c r="H71" s="73"/>
      <c r="I71" s="73"/>
      <c r="J71" s="73"/>
      <c r="K71" s="73"/>
      <c r="L71" s="73"/>
      <c r="M71" s="73"/>
      <c r="N71" s="73"/>
      <c r="O71" s="73"/>
      <c r="P71" s="73"/>
      <c r="Q71" s="73"/>
      <c r="R71" s="73"/>
      <c r="S71" s="73"/>
      <c r="T71" s="73"/>
      <c r="U71" s="74"/>
    </row>
    <row r="72" spans="2:21" s="15" customFormat="1" x14ac:dyDescent="0.25">
      <c r="B72" s="72" t="s">
        <v>3105</v>
      </c>
      <c r="C72" s="73"/>
      <c r="D72" s="73"/>
      <c r="E72" s="73"/>
      <c r="F72" s="73"/>
      <c r="G72" s="73"/>
      <c r="H72" s="73"/>
      <c r="I72" s="73"/>
      <c r="J72" s="73"/>
      <c r="K72" s="73"/>
      <c r="L72" s="73"/>
      <c r="M72" s="73"/>
      <c r="N72" s="73"/>
      <c r="O72" s="73"/>
      <c r="P72" s="73"/>
      <c r="Q72" s="73"/>
      <c r="R72" s="73"/>
      <c r="S72" s="73"/>
      <c r="T72" s="73"/>
      <c r="U72" s="74"/>
    </row>
    <row r="73" spans="2:21" s="15" customFormat="1" x14ac:dyDescent="0.25">
      <c r="B73" s="72" t="s">
        <v>3106</v>
      </c>
      <c r="C73" s="73"/>
      <c r="D73" s="73"/>
      <c r="E73" s="73"/>
      <c r="F73" s="73"/>
      <c r="G73" s="73"/>
      <c r="H73" s="73"/>
      <c r="I73" s="73"/>
      <c r="J73" s="73"/>
      <c r="K73" s="73"/>
      <c r="L73" s="73"/>
      <c r="M73" s="73"/>
      <c r="N73" s="73"/>
      <c r="O73" s="73"/>
      <c r="P73" s="73"/>
      <c r="Q73" s="73"/>
      <c r="R73" s="73"/>
      <c r="S73" s="73"/>
      <c r="T73" s="73"/>
      <c r="U73" s="74"/>
    </row>
    <row r="74" spans="2:21" s="15" customFormat="1" x14ac:dyDescent="0.25">
      <c r="B74" s="72" t="s">
        <v>3107</v>
      </c>
      <c r="C74" s="73"/>
      <c r="D74" s="73"/>
      <c r="E74" s="73"/>
      <c r="F74" s="73"/>
      <c r="G74" s="73"/>
      <c r="H74" s="73"/>
      <c r="I74" s="73"/>
      <c r="J74" s="73"/>
      <c r="K74" s="73"/>
      <c r="L74" s="73"/>
      <c r="M74" s="73"/>
      <c r="N74" s="73"/>
      <c r="O74" s="73"/>
      <c r="P74" s="73"/>
      <c r="Q74" s="73"/>
      <c r="R74" s="73"/>
      <c r="S74" s="73"/>
      <c r="T74" s="73"/>
      <c r="U74" s="74"/>
    </row>
    <row r="75" spans="2:21" s="15" customFormat="1" x14ac:dyDescent="0.25">
      <c r="B75" s="72" t="s">
        <v>3108</v>
      </c>
      <c r="C75" s="73"/>
      <c r="D75" s="73"/>
      <c r="E75" s="73"/>
      <c r="F75" s="73"/>
      <c r="G75" s="73"/>
      <c r="H75" s="73"/>
      <c r="I75" s="73"/>
      <c r="J75" s="73"/>
      <c r="K75" s="73"/>
      <c r="L75" s="73"/>
      <c r="M75" s="73"/>
      <c r="N75" s="73"/>
      <c r="O75" s="73"/>
      <c r="P75" s="73"/>
      <c r="Q75" s="73"/>
      <c r="R75" s="73"/>
      <c r="S75" s="73"/>
      <c r="T75" s="73"/>
      <c r="U75" s="74"/>
    </row>
    <row r="76" spans="2:21" s="15" customFormat="1" x14ac:dyDescent="0.25">
      <c r="B76" s="72" t="s">
        <v>3109</v>
      </c>
      <c r="C76" s="73"/>
      <c r="D76" s="73"/>
      <c r="E76" s="73"/>
      <c r="F76" s="73"/>
      <c r="G76" s="73"/>
      <c r="H76" s="73"/>
      <c r="I76" s="73"/>
      <c r="J76" s="73"/>
      <c r="K76" s="73"/>
      <c r="L76" s="73"/>
      <c r="M76" s="73"/>
      <c r="N76" s="73"/>
      <c r="O76" s="73"/>
      <c r="P76" s="73"/>
      <c r="Q76" s="73"/>
      <c r="R76" s="73"/>
      <c r="S76" s="73"/>
      <c r="T76" s="73"/>
      <c r="U76" s="74"/>
    </row>
    <row r="77" spans="2:21" s="15" customFormat="1" x14ac:dyDescent="0.25">
      <c r="B77" s="72" t="s">
        <v>3110</v>
      </c>
      <c r="C77" s="73"/>
      <c r="D77" s="73"/>
      <c r="E77" s="73"/>
      <c r="F77" s="73"/>
      <c r="G77" s="73"/>
      <c r="H77" s="73"/>
      <c r="I77" s="73"/>
      <c r="J77" s="73"/>
      <c r="K77" s="73"/>
      <c r="L77" s="73"/>
      <c r="M77" s="73"/>
      <c r="N77" s="73"/>
      <c r="O77" s="73"/>
      <c r="P77" s="73"/>
      <c r="Q77" s="73"/>
      <c r="R77" s="73"/>
      <c r="S77" s="73"/>
      <c r="T77" s="73"/>
      <c r="U77" s="74"/>
    </row>
    <row r="78" spans="2:21" s="15" customFormat="1" x14ac:dyDescent="0.25">
      <c r="B78" s="72" t="s">
        <v>3111</v>
      </c>
      <c r="C78" s="73"/>
      <c r="D78" s="73"/>
      <c r="E78" s="73"/>
      <c r="F78" s="73"/>
      <c r="G78" s="73"/>
      <c r="H78" s="73"/>
      <c r="I78" s="73"/>
      <c r="J78" s="73"/>
      <c r="K78" s="73"/>
      <c r="L78" s="73"/>
      <c r="M78" s="73"/>
      <c r="N78" s="73"/>
      <c r="O78" s="73"/>
      <c r="P78" s="73"/>
      <c r="Q78" s="73"/>
      <c r="R78" s="73"/>
      <c r="S78" s="73"/>
      <c r="T78" s="73"/>
      <c r="U78" s="74"/>
    </row>
    <row r="79" spans="2:21" s="15" customFormat="1" x14ac:dyDescent="0.25">
      <c r="B79" s="72" t="s">
        <v>3112</v>
      </c>
      <c r="C79" s="73"/>
      <c r="D79" s="73"/>
      <c r="E79" s="73"/>
      <c r="F79" s="73"/>
      <c r="G79" s="73"/>
      <c r="H79" s="73"/>
      <c r="I79" s="73"/>
      <c r="J79" s="73"/>
      <c r="K79" s="73"/>
      <c r="L79" s="73"/>
      <c r="M79" s="73"/>
      <c r="N79" s="73"/>
      <c r="O79" s="73"/>
      <c r="P79" s="73"/>
      <c r="Q79" s="73"/>
      <c r="R79" s="73"/>
      <c r="S79" s="73"/>
      <c r="T79" s="73"/>
      <c r="U79" s="74"/>
    </row>
    <row r="80" spans="2:21" s="15" customFormat="1" x14ac:dyDescent="0.25">
      <c r="B80" s="72" t="s">
        <v>3113</v>
      </c>
      <c r="C80" s="73"/>
      <c r="D80" s="73"/>
      <c r="E80" s="73"/>
      <c r="F80" s="73"/>
      <c r="G80" s="73"/>
      <c r="H80" s="73"/>
      <c r="I80" s="73"/>
      <c r="J80" s="73"/>
      <c r="K80" s="73"/>
      <c r="L80" s="73"/>
      <c r="M80" s="73"/>
      <c r="N80" s="73"/>
      <c r="O80" s="73"/>
      <c r="P80" s="73"/>
      <c r="Q80" s="73"/>
      <c r="R80" s="73"/>
      <c r="S80" s="73"/>
      <c r="T80" s="73"/>
      <c r="U80" s="74"/>
    </row>
    <row r="81" spans="2:21" s="15" customFormat="1" x14ac:dyDescent="0.25">
      <c r="B81" s="72" t="s">
        <v>3114</v>
      </c>
      <c r="C81" s="73"/>
      <c r="D81" s="73"/>
      <c r="E81" s="73"/>
      <c r="F81" s="73"/>
      <c r="G81" s="73"/>
      <c r="H81" s="73"/>
      <c r="I81" s="73"/>
      <c r="J81" s="73"/>
      <c r="K81" s="73"/>
      <c r="L81" s="73"/>
      <c r="M81" s="73"/>
      <c r="N81" s="73"/>
      <c r="O81" s="73"/>
      <c r="P81" s="73"/>
      <c r="Q81" s="73"/>
      <c r="R81" s="73"/>
      <c r="S81" s="73"/>
      <c r="T81" s="73"/>
      <c r="U81" s="74"/>
    </row>
    <row r="82" spans="2:21" s="15" customFormat="1" x14ac:dyDescent="0.25">
      <c r="B82" s="72" t="s">
        <v>3115</v>
      </c>
      <c r="C82" s="73"/>
      <c r="D82" s="73"/>
      <c r="E82" s="73"/>
      <c r="F82" s="73"/>
      <c r="G82" s="73"/>
      <c r="H82" s="73"/>
      <c r="I82" s="73"/>
      <c r="J82" s="73"/>
      <c r="K82" s="73"/>
      <c r="L82" s="73"/>
      <c r="M82" s="73"/>
      <c r="N82" s="73"/>
      <c r="O82" s="73"/>
      <c r="P82" s="73"/>
      <c r="Q82" s="73"/>
      <c r="R82" s="73"/>
      <c r="S82" s="73"/>
      <c r="T82" s="73"/>
      <c r="U82" s="74"/>
    </row>
    <row r="83" spans="2:21" s="15" customFormat="1" x14ac:dyDescent="0.25">
      <c r="B83" s="72" t="s">
        <v>3116</v>
      </c>
      <c r="C83" s="73"/>
      <c r="D83" s="73"/>
      <c r="E83" s="73"/>
      <c r="F83" s="73"/>
      <c r="G83" s="73"/>
      <c r="H83" s="73"/>
      <c r="I83" s="73"/>
      <c r="J83" s="73"/>
      <c r="K83" s="73"/>
      <c r="L83" s="73"/>
      <c r="M83" s="73"/>
      <c r="N83" s="73"/>
      <c r="O83" s="73"/>
      <c r="P83" s="73"/>
      <c r="Q83" s="73"/>
      <c r="R83" s="73"/>
      <c r="S83" s="73"/>
      <c r="T83" s="73"/>
      <c r="U83" s="74"/>
    </row>
    <row r="84" spans="2:21" s="15" customFormat="1" x14ac:dyDescent="0.25">
      <c r="B84" s="72" t="s">
        <v>3117</v>
      </c>
      <c r="C84" s="73"/>
      <c r="D84" s="73"/>
      <c r="E84" s="73"/>
      <c r="F84" s="73"/>
      <c r="G84" s="73"/>
      <c r="H84" s="73"/>
      <c r="I84" s="73"/>
      <c r="J84" s="73"/>
      <c r="K84" s="73"/>
      <c r="L84" s="73"/>
      <c r="M84" s="73"/>
      <c r="N84" s="73"/>
      <c r="O84" s="73"/>
      <c r="P84" s="73"/>
      <c r="Q84" s="73"/>
      <c r="R84" s="73"/>
      <c r="S84" s="73"/>
      <c r="T84" s="73"/>
      <c r="U84" s="74"/>
    </row>
    <row r="85" spans="2:21" s="15" customFormat="1" x14ac:dyDescent="0.25">
      <c r="B85" s="72" t="s">
        <v>3118</v>
      </c>
      <c r="C85" s="73"/>
      <c r="D85" s="73"/>
      <c r="E85" s="73"/>
      <c r="F85" s="73"/>
      <c r="G85" s="73"/>
      <c r="H85" s="73"/>
      <c r="I85" s="73"/>
      <c r="J85" s="73"/>
      <c r="K85" s="73"/>
      <c r="L85" s="73"/>
      <c r="M85" s="73"/>
      <c r="N85" s="73"/>
      <c r="O85" s="73"/>
      <c r="P85" s="73"/>
      <c r="Q85" s="73"/>
      <c r="R85" s="73"/>
      <c r="S85" s="73"/>
      <c r="T85" s="73"/>
      <c r="U85" s="74"/>
    </row>
    <row r="86" spans="2:21" s="15" customFormat="1" x14ac:dyDescent="0.25">
      <c r="B86" s="72" t="s">
        <v>3119</v>
      </c>
      <c r="C86" s="73"/>
      <c r="D86" s="73"/>
      <c r="E86" s="73"/>
      <c r="F86" s="73"/>
      <c r="G86" s="73"/>
      <c r="H86" s="73"/>
      <c r="I86" s="73"/>
      <c r="J86" s="73"/>
      <c r="K86" s="73"/>
      <c r="L86" s="73"/>
      <c r="M86" s="73"/>
      <c r="N86" s="73"/>
      <c r="O86" s="73"/>
      <c r="P86" s="73"/>
      <c r="Q86" s="73"/>
      <c r="R86" s="73"/>
      <c r="S86" s="73"/>
      <c r="T86" s="73"/>
      <c r="U86" s="74"/>
    </row>
    <row r="87" spans="2:21" s="15" customFormat="1" x14ac:dyDescent="0.25">
      <c r="B87" s="72" t="s">
        <v>3120</v>
      </c>
      <c r="C87" s="73"/>
      <c r="D87" s="73"/>
      <c r="E87" s="73"/>
      <c r="F87" s="73"/>
      <c r="G87" s="73"/>
      <c r="H87" s="73"/>
      <c r="I87" s="73"/>
      <c r="J87" s="73"/>
      <c r="K87" s="73"/>
      <c r="L87" s="73"/>
      <c r="M87" s="73"/>
      <c r="N87" s="73"/>
      <c r="O87" s="73"/>
      <c r="P87" s="73"/>
      <c r="Q87" s="73"/>
      <c r="R87" s="73"/>
      <c r="S87" s="73"/>
      <c r="T87" s="73"/>
      <c r="U87" s="74"/>
    </row>
    <row r="88" spans="2:21" s="15" customFormat="1" x14ac:dyDescent="0.25">
      <c r="B88" s="72" t="s">
        <v>3121</v>
      </c>
      <c r="C88" s="73"/>
      <c r="D88" s="73"/>
      <c r="E88" s="73"/>
      <c r="F88" s="73"/>
      <c r="G88" s="73"/>
      <c r="H88" s="73"/>
      <c r="I88" s="73"/>
      <c r="J88" s="73"/>
      <c r="K88" s="73"/>
      <c r="L88" s="73"/>
      <c r="M88" s="73"/>
      <c r="N88" s="73"/>
      <c r="O88" s="73"/>
      <c r="P88" s="73"/>
      <c r="Q88" s="73"/>
      <c r="R88" s="73"/>
      <c r="S88" s="73"/>
      <c r="T88" s="73"/>
      <c r="U88" s="74"/>
    </row>
    <row r="89" spans="2:21" s="15" customFormat="1" x14ac:dyDescent="0.25">
      <c r="B89" s="72" t="s">
        <v>3058</v>
      </c>
      <c r="C89" s="73"/>
      <c r="D89" s="73"/>
      <c r="E89" s="73"/>
      <c r="F89" s="73"/>
      <c r="G89" s="73"/>
      <c r="H89" s="73"/>
      <c r="I89" s="73"/>
      <c r="J89" s="73"/>
      <c r="K89" s="73"/>
      <c r="L89" s="73"/>
      <c r="M89" s="73"/>
      <c r="N89" s="73"/>
      <c r="O89" s="73"/>
      <c r="P89" s="73"/>
      <c r="Q89" s="73"/>
      <c r="R89" s="73"/>
      <c r="S89" s="73"/>
      <c r="T89" s="73"/>
      <c r="U89" s="74"/>
    </row>
    <row r="90" spans="2:21" s="15" customFormat="1" x14ac:dyDescent="0.25">
      <c r="B90" s="72" t="s">
        <v>3122</v>
      </c>
      <c r="C90" s="73"/>
      <c r="D90" s="73"/>
      <c r="E90" s="73"/>
      <c r="F90" s="73"/>
      <c r="G90" s="73"/>
      <c r="H90" s="73"/>
      <c r="I90" s="73"/>
      <c r="J90" s="73"/>
      <c r="K90" s="73"/>
      <c r="L90" s="73"/>
      <c r="M90" s="73"/>
      <c r="N90" s="73"/>
      <c r="O90" s="73"/>
      <c r="P90" s="73"/>
      <c r="Q90" s="73"/>
      <c r="R90" s="73"/>
      <c r="S90" s="73"/>
      <c r="T90" s="73"/>
      <c r="U90" s="74"/>
    </row>
    <row r="91" spans="2:21" s="15" customFormat="1" x14ac:dyDescent="0.25">
      <c r="B91" s="72" t="s">
        <v>3123</v>
      </c>
      <c r="C91" s="73"/>
      <c r="D91" s="73"/>
      <c r="E91" s="73"/>
      <c r="F91" s="73"/>
      <c r="G91" s="73"/>
      <c r="H91" s="73"/>
      <c r="I91" s="73"/>
      <c r="J91" s="73"/>
      <c r="K91" s="73"/>
      <c r="L91" s="73"/>
      <c r="M91" s="73"/>
      <c r="N91" s="73"/>
      <c r="O91" s="73"/>
      <c r="P91" s="73"/>
      <c r="Q91" s="73"/>
      <c r="R91" s="73"/>
      <c r="S91" s="73"/>
      <c r="T91" s="73"/>
      <c r="U91" s="74"/>
    </row>
    <row r="92" spans="2:21" s="15" customFormat="1" x14ac:dyDescent="0.25">
      <c r="B92" s="72" t="s">
        <v>3124</v>
      </c>
      <c r="C92" s="73"/>
      <c r="D92" s="73"/>
      <c r="E92" s="73"/>
      <c r="F92" s="73"/>
      <c r="G92" s="73"/>
      <c r="H92" s="73"/>
      <c r="I92" s="73"/>
      <c r="J92" s="73"/>
      <c r="K92" s="73"/>
      <c r="L92" s="73"/>
      <c r="M92" s="73"/>
      <c r="N92" s="73"/>
      <c r="O92" s="73"/>
      <c r="P92" s="73"/>
      <c r="Q92" s="73"/>
      <c r="R92" s="73"/>
      <c r="S92" s="73"/>
      <c r="T92" s="73"/>
      <c r="U92" s="74"/>
    </row>
    <row r="93" spans="2:21" s="15" customFormat="1" x14ac:dyDescent="0.25">
      <c r="B93" s="72" t="s">
        <v>3125</v>
      </c>
      <c r="C93" s="73"/>
      <c r="D93" s="73"/>
      <c r="E93" s="73"/>
      <c r="F93" s="73"/>
      <c r="G93" s="73"/>
      <c r="H93" s="73"/>
      <c r="I93" s="73"/>
      <c r="J93" s="73"/>
      <c r="K93" s="73"/>
      <c r="L93" s="73"/>
      <c r="M93" s="73"/>
      <c r="N93" s="73"/>
      <c r="O93" s="73"/>
      <c r="P93" s="73"/>
      <c r="Q93" s="73"/>
      <c r="R93" s="73"/>
      <c r="S93" s="73"/>
      <c r="T93" s="73"/>
      <c r="U93" s="74"/>
    </row>
    <row r="94" spans="2:21" s="15" customFormat="1" x14ac:dyDescent="0.25">
      <c r="B94" s="72" t="s">
        <v>3126</v>
      </c>
      <c r="C94" s="73"/>
      <c r="D94" s="73"/>
      <c r="E94" s="73"/>
      <c r="F94" s="73"/>
      <c r="G94" s="73"/>
      <c r="H94" s="73"/>
      <c r="I94" s="73"/>
      <c r="J94" s="73"/>
      <c r="K94" s="73"/>
      <c r="L94" s="73"/>
      <c r="M94" s="73"/>
      <c r="N94" s="73"/>
      <c r="O94" s="73"/>
      <c r="P94" s="73"/>
      <c r="Q94" s="73"/>
      <c r="R94" s="73"/>
      <c r="S94" s="73"/>
      <c r="T94" s="73"/>
      <c r="U94" s="74"/>
    </row>
    <row r="95" spans="2:21" s="15" customFormat="1" x14ac:dyDescent="0.25">
      <c r="B95" s="72" t="s">
        <v>3127</v>
      </c>
      <c r="C95" s="73"/>
      <c r="D95" s="73"/>
      <c r="E95" s="73"/>
      <c r="F95" s="73"/>
      <c r="G95" s="73"/>
      <c r="H95" s="73"/>
      <c r="I95" s="73"/>
      <c r="J95" s="73"/>
      <c r="K95" s="73"/>
      <c r="L95" s="73"/>
      <c r="M95" s="73"/>
      <c r="N95" s="73"/>
      <c r="O95" s="73"/>
      <c r="P95" s="73"/>
      <c r="Q95" s="73"/>
      <c r="R95" s="73"/>
      <c r="S95" s="73"/>
      <c r="T95" s="73"/>
      <c r="U95" s="74"/>
    </row>
    <row r="96" spans="2:21" s="15" customFormat="1" x14ac:dyDescent="0.25">
      <c r="B96" s="72" t="s">
        <v>3128</v>
      </c>
      <c r="C96" s="73"/>
      <c r="D96" s="73"/>
      <c r="E96" s="73"/>
      <c r="F96" s="73"/>
      <c r="G96" s="73"/>
      <c r="H96" s="73"/>
      <c r="I96" s="73"/>
      <c r="J96" s="73"/>
      <c r="K96" s="73"/>
      <c r="L96" s="73"/>
      <c r="M96" s="73"/>
      <c r="N96" s="73"/>
      <c r="O96" s="73"/>
      <c r="P96" s="73"/>
      <c r="Q96" s="73"/>
      <c r="R96" s="73"/>
      <c r="S96" s="73"/>
      <c r="T96" s="73"/>
      <c r="U96" s="74"/>
    </row>
    <row r="97" spans="2:21" s="15" customFormat="1" x14ac:dyDescent="0.25">
      <c r="B97" s="72" t="s">
        <v>3129</v>
      </c>
      <c r="C97" s="73"/>
      <c r="D97" s="73"/>
      <c r="E97" s="73"/>
      <c r="F97" s="73"/>
      <c r="G97" s="73"/>
      <c r="H97" s="73"/>
      <c r="I97" s="73"/>
      <c r="J97" s="73"/>
      <c r="K97" s="73"/>
      <c r="L97" s="73"/>
      <c r="M97" s="73"/>
      <c r="N97" s="73"/>
      <c r="O97" s="73"/>
      <c r="P97" s="73"/>
      <c r="Q97" s="73"/>
      <c r="R97" s="73"/>
      <c r="S97" s="73"/>
      <c r="T97" s="73"/>
      <c r="U97" s="74"/>
    </row>
    <row r="98" spans="2:21" s="15" customFormat="1" x14ac:dyDescent="0.25">
      <c r="B98" s="72" t="s">
        <v>3130</v>
      </c>
      <c r="C98" s="73"/>
      <c r="D98" s="73"/>
      <c r="E98" s="73"/>
      <c r="F98" s="73"/>
      <c r="G98" s="73"/>
      <c r="H98" s="73"/>
      <c r="I98" s="73"/>
      <c r="J98" s="73"/>
      <c r="K98" s="73"/>
      <c r="L98" s="73"/>
      <c r="M98" s="73"/>
      <c r="N98" s="73"/>
      <c r="O98" s="73"/>
      <c r="P98" s="73"/>
      <c r="Q98" s="73"/>
      <c r="R98" s="73"/>
      <c r="S98" s="73"/>
      <c r="T98" s="73"/>
      <c r="U98" s="74"/>
    </row>
    <row r="99" spans="2:21" s="15" customFormat="1" x14ac:dyDescent="0.25">
      <c r="B99" s="72" t="s">
        <v>3131</v>
      </c>
      <c r="C99" s="73"/>
      <c r="D99" s="73"/>
      <c r="E99" s="73"/>
      <c r="F99" s="73"/>
      <c r="G99" s="73"/>
      <c r="H99" s="73"/>
      <c r="I99" s="73"/>
      <c r="J99" s="73"/>
      <c r="K99" s="73"/>
      <c r="L99" s="73"/>
      <c r="M99" s="73"/>
      <c r="N99" s="73"/>
      <c r="O99" s="73"/>
      <c r="P99" s="73"/>
      <c r="Q99" s="73"/>
      <c r="R99" s="73"/>
      <c r="S99" s="73"/>
      <c r="T99" s="73"/>
      <c r="U99" s="74"/>
    </row>
    <row r="100" spans="2:21" s="15" customFormat="1" x14ac:dyDescent="0.25">
      <c r="B100" s="72" t="s">
        <v>3132</v>
      </c>
      <c r="C100" s="73"/>
      <c r="D100" s="73"/>
      <c r="E100" s="73"/>
      <c r="F100" s="73"/>
      <c r="G100" s="73"/>
      <c r="H100" s="73"/>
      <c r="I100" s="73"/>
      <c r="J100" s="73"/>
      <c r="K100" s="73"/>
      <c r="L100" s="73"/>
      <c r="M100" s="73"/>
      <c r="N100" s="73"/>
      <c r="O100" s="73"/>
      <c r="P100" s="73"/>
      <c r="Q100" s="73"/>
      <c r="R100" s="73"/>
      <c r="S100" s="73"/>
      <c r="T100" s="73"/>
      <c r="U100" s="74"/>
    </row>
    <row r="101" spans="2:21" s="15" customFormat="1" x14ac:dyDescent="0.25">
      <c r="B101" s="72" t="s">
        <v>3133</v>
      </c>
      <c r="C101" s="73"/>
      <c r="D101" s="73"/>
      <c r="E101" s="73"/>
      <c r="F101" s="73"/>
      <c r="G101" s="73"/>
      <c r="H101" s="73"/>
      <c r="I101" s="73"/>
      <c r="J101" s="73"/>
      <c r="K101" s="73"/>
      <c r="L101" s="73"/>
      <c r="M101" s="73"/>
      <c r="N101" s="73"/>
      <c r="O101" s="73"/>
      <c r="P101" s="73"/>
      <c r="Q101" s="73"/>
      <c r="R101" s="73"/>
      <c r="S101" s="73"/>
      <c r="T101" s="73"/>
      <c r="U101" s="74"/>
    </row>
    <row r="102" spans="2:21" s="15" customFormat="1" x14ac:dyDescent="0.25">
      <c r="B102" s="72" t="s">
        <v>3134</v>
      </c>
      <c r="C102" s="73"/>
      <c r="D102" s="73"/>
      <c r="E102" s="73"/>
      <c r="F102" s="73"/>
      <c r="G102" s="73"/>
      <c r="H102" s="73"/>
      <c r="I102" s="73"/>
      <c r="J102" s="73"/>
      <c r="K102" s="73"/>
      <c r="L102" s="73"/>
      <c r="M102" s="73"/>
      <c r="N102" s="73"/>
      <c r="O102" s="73"/>
      <c r="P102" s="73"/>
      <c r="Q102" s="73"/>
      <c r="R102" s="73"/>
      <c r="S102" s="73"/>
      <c r="T102" s="73"/>
      <c r="U102" s="74"/>
    </row>
    <row r="103" spans="2:21" s="15" customFormat="1" x14ac:dyDescent="0.25">
      <c r="B103" s="72" t="s">
        <v>3135</v>
      </c>
      <c r="C103" s="73"/>
      <c r="D103" s="73"/>
      <c r="E103" s="73"/>
      <c r="F103" s="73"/>
      <c r="G103" s="73"/>
      <c r="H103" s="73"/>
      <c r="I103" s="73"/>
      <c r="J103" s="73"/>
      <c r="K103" s="73"/>
      <c r="L103" s="73"/>
      <c r="M103" s="73"/>
      <c r="N103" s="73"/>
      <c r="O103" s="73"/>
      <c r="P103" s="73"/>
      <c r="Q103" s="73"/>
      <c r="R103" s="73"/>
      <c r="S103" s="73"/>
      <c r="T103" s="73"/>
      <c r="U103" s="74"/>
    </row>
    <row r="104" spans="2:21" s="15" customFormat="1" x14ac:dyDescent="0.25">
      <c r="B104" s="72" t="s">
        <v>3136</v>
      </c>
      <c r="C104" s="73"/>
      <c r="D104" s="73"/>
      <c r="E104" s="73"/>
      <c r="F104" s="73"/>
      <c r="G104" s="73"/>
      <c r="H104" s="73"/>
      <c r="I104" s="73"/>
      <c r="J104" s="73"/>
      <c r="K104" s="73"/>
      <c r="L104" s="73"/>
      <c r="M104" s="73"/>
      <c r="N104" s="73"/>
      <c r="O104" s="73"/>
      <c r="P104" s="73"/>
      <c r="Q104" s="73"/>
      <c r="R104" s="73"/>
      <c r="S104" s="73"/>
      <c r="T104" s="73"/>
      <c r="U104" s="74"/>
    </row>
    <row r="105" spans="2:21" s="15" customFormat="1" x14ac:dyDescent="0.25">
      <c r="B105" s="72" t="s">
        <v>3137</v>
      </c>
      <c r="C105" s="73"/>
      <c r="D105" s="73"/>
      <c r="E105" s="73"/>
      <c r="F105" s="73"/>
      <c r="G105" s="73"/>
      <c r="H105" s="73"/>
      <c r="I105" s="73"/>
      <c r="J105" s="73"/>
      <c r="K105" s="73"/>
      <c r="L105" s="73"/>
      <c r="M105" s="73"/>
      <c r="N105" s="73"/>
      <c r="O105" s="73"/>
      <c r="P105" s="73"/>
      <c r="Q105" s="73"/>
      <c r="R105" s="73"/>
      <c r="S105" s="73"/>
      <c r="T105" s="73"/>
      <c r="U105" s="74"/>
    </row>
    <row r="106" spans="2:21" s="15" customFormat="1" x14ac:dyDescent="0.25">
      <c r="B106" s="72" t="s">
        <v>3138</v>
      </c>
      <c r="C106" s="73"/>
      <c r="D106" s="73"/>
      <c r="E106" s="73"/>
      <c r="F106" s="73"/>
      <c r="G106" s="73"/>
      <c r="H106" s="73"/>
      <c r="I106" s="73"/>
      <c r="J106" s="73"/>
      <c r="K106" s="73"/>
      <c r="L106" s="73"/>
      <c r="M106" s="73"/>
      <c r="N106" s="73"/>
      <c r="O106" s="73"/>
      <c r="P106" s="73"/>
      <c r="Q106" s="73"/>
      <c r="R106" s="73"/>
      <c r="S106" s="73"/>
      <c r="T106" s="73"/>
      <c r="U106" s="74"/>
    </row>
    <row r="107" spans="2:21" s="15" customFormat="1" x14ac:dyDescent="0.25">
      <c r="B107" s="72" t="s">
        <v>3139</v>
      </c>
      <c r="C107" s="73"/>
      <c r="D107" s="73"/>
      <c r="E107" s="73"/>
      <c r="F107" s="73"/>
      <c r="G107" s="73"/>
      <c r="H107" s="73"/>
      <c r="I107" s="73"/>
      <c r="J107" s="73"/>
      <c r="K107" s="73"/>
      <c r="L107" s="73"/>
      <c r="M107" s="73"/>
      <c r="N107" s="73"/>
      <c r="O107" s="73"/>
      <c r="P107" s="73"/>
      <c r="Q107" s="73"/>
      <c r="R107" s="73"/>
      <c r="S107" s="73"/>
      <c r="T107" s="73"/>
      <c r="U107" s="74"/>
    </row>
    <row r="108" spans="2:21" s="15" customFormat="1" x14ac:dyDescent="0.25">
      <c r="B108" s="72" t="s">
        <v>3140</v>
      </c>
      <c r="C108" s="73"/>
      <c r="D108" s="73"/>
      <c r="E108" s="73"/>
      <c r="F108" s="73"/>
      <c r="G108" s="73"/>
      <c r="H108" s="73"/>
      <c r="I108" s="73"/>
      <c r="J108" s="73"/>
      <c r="K108" s="73"/>
      <c r="L108" s="73"/>
      <c r="M108" s="73"/>
      <c r="N108" s="73"/>
      <c r="O108" s="73"/>
      <c r="P108" s="73"/>
      <c r="Q108" s="73"/>
      <c r="R108" s="73"/>
      <c r="S108" s="73"/>
      <c r="T108" s="73"/>
      <c r="U108" s="74"/>
    </row>
    <row r="109" spans="2:21" s="15" customFormat="1" x14ac:dyDescent="0.25">
      <c r="B109" s="72" t="s">
        <v>3141</v>
      </c>
      <c r="C109" s="73"/>
      <c r="D109" s="73"/>
      <c r="E109" s="73"/>
      <c r="F109" s="73"/>
      <c r="G109" s="73"/>
      <c r="H109" s="73"/>
      <c r="I109" s="73"/>
      <c r="J109" s="73"/>
      <c r="K109" s="73"/>
      <c r="L109" s="73"/>
      <c r="M109" s="73"/>
      <c r="N109" s="73"/>
      <c r="O109" s="73"/>
      <c r="P109" s="73"/>
      <c r="Q109" s="73"/>
      <c r="R109" s="73"/>
      <c r="S109" s="73"/>
      <c r="T109" s="73"/>
      <c r="U109" s="74"/>
    </row>
    <row r="110" spans="2:21" s="15" customFormat="1" x14ac:dyDescent="0.25">
      <c r="B110" s="72" t="s">
        <v>3142</v>
      </c>
      <c r="C110" s="73"/>
      <c r="D110" s="73"/>
      <c r="E110" s="73"/>
      <c r="F110" s="73"/>
      <c r="G110" s="73"/>
      <c r="H110" s="73"/>
      <c r="I110" s="73"/>
      <c r="J110" s="73"/>
      <c r="K110" s="73"/>
      <c r="L110" s="73"/>
      <c r="M110" s="73"/>
      <c r="N110" s="73"/>
      <c r="O110" s="73"/>
      <c r="P110" s="73"/>
      <c r="Q110" s="73"/>
      <c r="R110" s="73"/>
      <c r="S110" s="73"/>
      <c r="T110" s="73"/>
      <c r="U110" s="74"/>
    </row>
    <row r="111" spans="2:21" s="15" customFormat="1" x14ac:dyDescent="0.25">
      <c r="B111" s="72" t="s">
        <v>3143</v>
      </c>
      <c r="C111" s="73"/>
      <c r="D111" s="73"/>
      <c r="E111" s="73"/>
      <c r="F111" s="73"/>
      <c r="G111" s="73"/>
      <c r="H111" s="73"/>
      <c r="I111" s="73"/>
      <c r="J111" s="73"/>
      <c r="K111" s="73"/>
      <c r="L111" s="73"/>
      <c r="M111" s="73"/>
      <c r="N111" s="73"/>
      <c r="O111" s="73"/>
      <c r="P111" s="73"/>
      <c r="Q111" s="73"/>
      <c r="R111" s="73"/>
      <c r="S111" s="73"/>
      <c r="T111" s="73"/>
      <c r="U111" s="74"/>
    </row>
    <row r="112" spans="2:21" s="15" customFormat="1" x14ac:dyDescent="0.25">
      <c r="B112" s="72" t="s">
        <v>3144</v>
      </c>
      <c r="C112" s="73"/>
      <c r="D112" s="73"/>
      <c r="E112" s="73"/>
      <c r="F112" s="73"/>
      <c r="G112" s="73"/>
      <c r="H112" s="73"/>
      <c r="I112" s="73"/>
      <c r="J112" s="73"/>
      <c r="K112" s="73"/>
      <c r="L112" s="73"/>
      <c r="M112" s="73"/>
      <c r="N112" s="73"/>
      <c r="O112" s="73"/>
      <c r="P112" s="73"/>
      <c r="Q112" s="73"/>
      <c r="R112" s="73"/>
      <c r="S112" s="73"/>
      <c r="T112" s="73"/>
      <c r="U112" s="74"/>
    </row>
    <row r="113" spans="2:21" s="15" customFormat="1" x14ac:dyDescent="0.25">
      <c r="B113" s="72" t="s">
        <v>3145</v>
      </c>
      <c r="C113" s="73"/>
      <c r="D113" s="73"/>
      <c r="E113" s="73"/>
      <c r="F113" s="73"/>
      <c r="G113" s="73"/>
      <c r="H113" s="73"/>
      <c r="I113" s="73"/>
      <c r="J113" s="73"/>
      <c r="K113" s="73"/>
      <c r="L113" s="73"/>
      <c r="M113" s="73"/>
      <c r="N113" s="73"/>
      <c r="O113" s="73"/>
      <c r="P113" s="73"/>
      <c r="Q113" s="73"/>
      <c r="R113" s="73"/>
      <c r="S113" s="73"/>
      <c r="T113" s="73"/>
      <c r="U113" s="74"/>
    </row>
    <row r="114" spans="2:21" s="15" customFormat="1" x14ac:dyDescent="0.25">
      <c r="B114" s="72" t="s">
        <v>3146</v>
      </c>
      <c r="C114" s="73"/>
      <c r="D114" s="73"/>
      <c r="E114" s="73"/>
      <c r="F114" s="73"/>
      <c r="G114" s="73"/>
      <c r="H114" s="73"/>
      <c r="I114" s="73"/>
      <c r="J114" s="73"/>
      <c r="K114" s="73"/>
      <c r="L114" s="73"/>
      <c r="M114" s="73"/>
      <c r="N114" s="73"/>
      <c r="O114" s="73"/>
      <c r="P114" s="73"/>
      <c r="Q114" s="73"/>
      <c r="R114" s="73"/>
      <c r="S114" s="73"/>
      <c r="T114" s="73"/>
      <c r="U114" s="74"/>
    </row>
    <row r="115" spans="2:21" s="15" customFormat="1" x14ac:dyDescent="0.25">
      <c r="B115" s="72" t="s">
        <v>3125</v>
      </c>
      <c r="C115" s="73"/>
      <c r="D115" s="73"/>
      <c r="E115" s="73"/>
      <c r="F115" s="73"/>
      <c r="G115" s="73"/>
      <c r="H115" s="73"/>
      <c r="I115" s="73"/>
      <c r="J115" s="73"/>
      <c r="K115" s="73"/>
      <c r="L115" s="73"/>
      <c r="M115" s="73"/>
      <c r="N115" s="73"/>
      <c r="O115" s="73"/>
      <c r="P115" s="73"/>
      <c r="Q115" s="73"/>
      <c r="R115" s="73"/>
      <c r="S115" s="73"/>
      <c r="T115" s="73"/>
      <c r="U115" s="74"/>
    </row>
    <row r="116" spans="2:21" s="15" customFormat="1" x14ac:dyDescent="0.25">
      <c r="B116" s="72" t="s">
        <v>3147</v>
      </c>
      <c r="C116" s="73"/>
      <c r="D116" s="73"/>
      <c r="E116" s="73"/>
      <c r="F116" s="73"/>
      <c r="G116" s="73"/>
      <c r="H116" s="73"/>
      <c r="I116" s="73"/>
      <c r="J116" s="73"/>
      <c r="K116" s="73"/>
      <c r="L116" s="73"/>
      <c r="M116" s="73"/>
      <c r="N116" s="73"/>
      <c r="O116" s="73"/>
      <c r="P116" s="73"/>
      <c r="Q116" s="73"/>
      <c r="R116" s="73"/>
      <c r="S116" s="73"/>
      <c r="T116" s="73"/>
      <c r="U116" s="74"/>
    </row>
    <row r="117" spans="2:21" s="15" customFormat="1" x14ac:dyDescent="0.25">
      <c r="B117" s="72" t="s">
        <v>3127</v>
      </c>
      <c r="C117" s="73"/>
      <c r="D117" s="73"/>
      <c r="E117" s="73"/>
      <c r="F117" s="73"/>
      <c r="G117" s="73"/>
      <c r="H117" s="73"/>
      <c r="I117" s="73"/>
      <c r="J117" s="73"/>
      <c r="K117" s="73"/>
      <c r="L117" s="73"/>
      <c r="M117" s="73"/>
      <c r="N117" s="73"/>
      <c r="O117" s="73"/>
      <c r="P117" s="73"/>
      <c r="Q117" s="73"/>
      <c r="R117" s="73"/>
      <c r="S117" s="73"/>
      <c r="T117" s="73"/>
      <c r="U117" s="74"/>
    </row>
    <row r="118" spans="2:21" s="15" customFormat="1" x14ac:dyDescent="0.25">
      <c r="B118" s="72" t="s">
        <v>3128</v>
      </c>
      <c r="C118" s="73"/>
      <c r="D118" s="73"/>
      <c r="E118" s="73"/>
      <c r="F118" s="73"/>
      <c r="G118" s="73"/>
      <c r="H118" s="73"/>
      <c r="I118" s="73"/>
      <c r="J118" s="73"/>
      <c r="K118" s="73"/>
      <c r="L118" s="73"/>
      <c r="M118" s="73"/>
      <c r="N118" s="73"/>
      <c r="O118" s="73"/>
      <c r="P118" s="73"/>
      <c r="Q118" s="73"/>
      <c r="R118" s="73"/>
      <c r="S118" s="73"/>
      <c r="T118" s="73"/>
      <c r="U118" s="74"/>
    </row>
    <row r="119" spans="2:21" s="15" customFormat="1" x14ac:dyDescent="0.25">
      <c r="B119" s="72" t="s">
        <v>3129</v>
      </c>
      <c r="C119" s="73"/>
      <c r="D119" s="73"/>
      <c r="E119" s="73"/>
      <c r="F119" s="73"/>
      <c r="G119" s="73"/>
      <c r="H119" s="73"/>
      <c r="I119" s="73"/>
      <c r="J119" s="73"/>
      <c r="K119" s="73"/>
      <c r="L119" s="73"/>
      <c r="M119" s="73"/>
      <c r="N119" s="73"/>
      <c r="O119" s="73"/>
      <c r="P119" s="73"/>
      <c r="Q119" s="73"/>
      <c r="R119" s="73"/>
      <c r="S119" s="73"/>
      <c r="T119" s="73"/>
      <c r="U119" s="74"/>
    </row>
    <row r="120" spans="2:21" s="15" customFormat="1" x14ac:dyDescent="0.25">
      <c r="B120" s="72" t="s">
        <v>3130</v>
      </c>
      <c r="C120" s="73"/>
      <c r="D120" s="73"/>
      <c r="E120" s="73"/>
      <c r="F120" s="73"/>
      <c r="G120" s="73"/>
      <c r="H120" s="73"/>
      <c r="I120" s="73"/>
      <c r="J120" s="73"/>
      <c r="K120" s="73"/>
      <c r="L120" s="73"/>
      <c r="M120" s="73"/>
      <c r="N120" s="73"/>
      <c r="O120" s="73"/>
      <c r="P120" s="73"/>
      <c r="Q120" s="73"/>
      <c r="R120" s="73"/>
      <c r="S120" s="73"/>
      <c r="T120" s="73"/>
      <c r="U120" s="74"/>
    </row>
    <row r="121" spans="2:21" s="15" customFormat="1" x14ac:dyDescent="0.25">
      <c r="B121" s="72" t="s">
        <v>3131</v>
      </c>
      <c r="C121" s="73"/>
      <c r="D121" s="73"/>
      <c r="E121" s="73"/>
      <c r="F121" s="73"/>
      <c r="G121" s="73"/>
      <c r="H121" s="73"/>
      <c r="I121" s="73"/>
      <c r="J121" s="73"/>
      <c r="K121" s="73"/>
      <c r="L121" s="73"/>
      <c r="M121" s="73"/>
      <c r="N121" s="73"/>
      <c r="O121" s="73"/>
      <c r="P121" s="73"/>
      <c r="Q121" s="73"/>
      <c r="R121" s="73"/>
      <c r="S121" s="73"/>
      <c r="T121" s="73"/>
      <c r="U121" s="74"/>
    </row>
    <row r="122" spans="2:21" s="15" customFormat="1" x14ac:dyDescent="0.25">
      <c r="B122" s="72" t="s">
        <v>3132</v>
      </c>
      <c r="C122" s="73"/>
      <c r="D122" s="73"/>
      <c r="E122" s="73"/>
      <c r="F122" s="73"/>
      <c r="G122" s="73"/>
      <c r="H122" s="73"/>
      <c r="I122" s="73"/>
      <c r="J122" s="73"/>
      <c r="K122" s="73"/>
      <c r="L122" s="73"/>
      <c r="M122" s="73"/>
      <c r="N122" s="73"/>
      <c r="O122" s="73"/>
      <c r="P122" s="73"/>
      <c r="Q122" s="73"/>
      <c r="R122" s="73"/>
      <c r="S122" s="73"/>
      <c r="T122" s="73"/>
      <c r="U122" s="74"/>
    </row>
    <row r="123" spans="2:21" s="15" customFormat="1" x14ac:dyDescent="0.25">
      <c r="B123" s="72" t="s">
        <v>3133</v>
      </c>
      <c r="C123" s="73"/>
      <c r="D123" s="73"/>
      <c r="E123" s="73"/>
      <c r="F123" s="73"/>
      <c r="G123" s="73"/>
      <c r="H123" s="73"/>
      <c r="I123" s="73"/>
      <c r="J123" s="73"/>
      <c r="K123" s="73"/>
      <c r="L123" s="73"/>
      <c r="M123" s="73"/>
      <c r="N123" s="73"/>
      <c r="O123" s="73"/>
      <c r="P123" s="73"/>
      <c r="Q123" s="73"/>
      <c r="R123" s="73"/>
      <c r="S123" s="73"/>
      <c r="T123" s="73"/>
      <c r="U123" s="74"/>
    </row>
    <row r="124" spans="2:21" s="15" customFormat="1" x14ac:dyDescent="0.25">
      <c r="B124" s="72" t="s">
        <v>3134</v>
      </c>
      <c r="C124" s="73"/>
      <c r="D124" s="73"/>
      <c r="E124" s="73"/>
      <c r="F124" s="73"/>
      <c r="G124" s="73"/>
      <c r="H124" s="73"/>
      <c r="I124" s="73"/>
      <c r="J124" s="73"/>
      <c r="K124" s="73"/>
      <c r="L124" s="73"/>
      <c r="M124" s="73"/>
      <c r="N124" s="73"/>
      <c r="O124" s="73"/>
      <c r="P124" s="73"/>
      <c r="Q124" s="73"/>
      <c r="R124" s="73"/>
      <c r="S124" s="73"/>
      <c r="T124" s="73"/>
      <c r="U124" s="74"/>
    </row>
    <row r="125" spans="2:21" s="15" customFormat="1" x14ac:dyDescent="0.25">
      <c r="B125" s="72" t="s">
        <v>3135</v>
      </c>
      <c r="C125" s="73"/>
      <c r="D125" s="73"/>
      <c r="E125" s="73"/>
      <c r="F125" s="73"/>
      <c r="G125" s="73"/>
      <c r="H125" s="73"/>
      <c r="I125" s="73"/>
      <c r="J125" s="73"/>
      <c r="K125" s="73"/>
      <c r="L125" s="73"/>
      <c r="M125" s="73"/>
      <c r="N125" s="73"/>
      <c r="O125" s="73"/>
      <c r="P125" s="73"/>
      <c r="Q125" s="73"/>
      <c r="R125" s="73"/>
      <c r="S125" s="73"/>
      <c r="T125" s="73"/>
      <c r="U125" s="74"/>
    </row>
    <row r="126" spans="2:21" s="15" customFormat="1" x14ac:dyDescent="0.25">
      <c r="B126" s="72" t="s">
        <v>3136</v>
      </c>
      <c r="C126" s="73"/>
      <c r="D126" s="73"/>
      <c r="E126" s="73"/>
      <c r="F126" s="73"/>
      <c r="G126" s="73"/>
      <c r="H126" s="73"/>
      <c r="I126" s="73"/>
      <c r="J126" s="73"/>
      <c r="K126" s="73"/>
      <c r="L126" s="73"/>
      <c r="M126" s="73"/>
      <c r="N126" s="73"/>
      <c r="O126" s="73"/>
      <c r="P126" s="73"/>
      <c r="Q126" s="73"/>
      <c r="R126" s="73"/>
      <c r="S126" s="73"/>
      <c r="T126" s="73"/>
      <c r="U126" s="74"/>
    </row>
    <row r="127" spans="2:21" s="15" customFormat="1" x14ac:dyDescent="0.25">
      <c r="B127" s="72" t="s">
        <v>3137</v>
      </c>
      <c r="C127" s="73"/>
      <c r="D127" s="73"/>
      <c r="E127" s="73"/>
      <c r="F127" s="73"/>
      <c r="G127" s="73"/>
      <c r="H127" s="73"/>
      <c r="I127" s="73"/>
      <c r="J127" s="73"/>
      <c r="K127" s="73"/>
      <c r="L127" s="73"/>
      <c r="M127" s="73"/>
      <c r="N127" s="73"/>
      <c r="O127" s="73"/>
      <c r="P127" s="73"/>
      <c r="Q127" s="73"/>
      <c r="R127" s="73"/>
      <c r="S127" s="73"/>
      <c r="T127" s="73"/>
      <c r="U127" s="74"/>
    </row>
    <row r="128" spans="2:21" s="15" customFormat="1" x14ac:dyDescent="0.25">
      <c r="B128" s="72" t="s">
        <v>3138</v>
      </c>
      <c r="C128" s="73"/>
      <c r="D128" s="73"/>
      <c r="E128" s="73"/>
      <c r="F128" s="73"/>
      <c r="G128" s="73"/>
      <c r="H128" s="73"/>
      <c r="I128" s="73"/>
      <c r="J128" s="73"/>
      <c r="K128" s="73"/>
      <c r="L128" s="73"/>
      <c r="M128" s="73"/>
      <c r="N128" s="73"/>
      <c r="O128" s="73"/>
      <c r="P128" s="73"/>
      <c r="Q128" s="73"/>
      <c r="R128" s="73"/>
      <c r="S128" s="73"/>
      <c r="T128" s="73"/>
      <c r="U128" s="74"/>
    </row>
    <row r="129" spans="2:21" s="15" customFormat="1" x14ac:dyDescent="0.25">
      <c r="B129" s="72" t="s">
        <v>3139</v>
      </c>
      <c r="C129" s="73"/>
      <c r="D129" s="73"/>
      <c r="E129" s="73"/>
      <c r="F129" s="73"/>
      <c r="G129" s="73"/>
      <c r="H129" s="73"/>
      <c r="I129" s="73"/>
      <c r="J129" s="73"/>
      <c r="K129" s="73"/>
      <c r="L129" s="73"/>
      <c r="M129" s="73"/>
      <c r="N129" s="73"/>
      <c r="O129" s="73"/>
      <c r="P129" s="73"/>
      <c r="Q129" s="73"/>
      <c r="R129" s="73"/>
      <c r="S129" s="73"/>
      <c r="T129" s="73"/>
      <c r="U129" s="74"/>
    </row>
    <row r="130" spans="2:21" s="15" customFormat="1" x14ac:dyDescent="0.25">
      <c r="B130" s="72" t="s">
        <v>3148</v>
      </c>
      <c r="C130" s="73"/>
      <c r="D130" s="73"/>
      <c r="E130" s="73"/>
      <c r="F130" s="73"/>
      <c r="G130" s="73"/>
      <c r="H130" s="73"/>
      <c r="I130" s="73"/>
      <c r="J130" s="73"/>
      <c r="K130" s="73"/>
      <c r="L130" s="73"/>
      <c r="M130" s="73"/>
      <c r="N130" s="73"/>
      <c r="O130" s="73"/>
      <c r="P130" s="73"/>
      <c r="Q130" s="73"/>
      <c r="R130" s="73"/>
      <c r="S130" s="73"/>
      <c r="T130" s="73"/>
      <c r="U130" s="74"/>
    </row>
    <row r="131" spans="2:21" s="15" customFormat="1" x14ac:dyDescent="0.25">
      <c r="B131" s="72" t="s">
        <v>3149</v>
      </c>
      <c r="C131" s="73"/>
      <c r="D131" s="73"/>
      <c r="E131" s="73"/>
      <c r="F131" s="73"/>
      <c r="G131" s="73"/>
      <c r="H131" s="73"/>
      <c r="I131" s="73"/>
      <c r="J131" s="73"/>
      <c r="K131" s="73"/>
      <c r="L131" s="73"/>
      <c r="M131" s="73"/>
      <c r="N131" s="73"/>
      <c r="O131" s="73"/>
      <c r="P131" s="73"/>
      <c r="Q131" s="73"/>
      <c r="R131" s="73"/>
      <c r="S131" s="73"/>
      <c r="T131" s="73"/>
      <c r="U131" s="74"/>
    </row>
    <row r="132" spans="2:21" s="15" customFormat="1" x14ac:dyDescent="0.25">
      <c r="B132" s="72" t="s">
        <v>3142</v>
      </c>
      <c r="C132" s="73"/>
      <c r="D132" s="73"/>
      <c r="E132" s="73"/>
      <c r="F132" s="73"/>
      <c r="G132" s="73"/>
      <c r="H132" s="73"/>
      <c r="I132" s="73"/>
      <c r="J132" s="73"/>
      <c r="K132" s="73"/>
      <c r="L132" s="73"/>
      <c r="M132" s="73"/>
      <c r="N132" s="73"/>
      <c r="O132" s="73"/>
      <c r="P132" s="73"/>
      <c r="Q132" s="73"/>
      <c r="R132" s="73"/>
      <c r="S132" s="73"/>
      <c r="T132" s="73"/>
      <c r="U132" s="74"/>
    </row>
    <row r="133" spans="2:21" s="15" customFormat="1" x14ac:dyDescent="0.25">
      <c r="B133" s="72" t="s">
        <v>3150</v>
      </c>
      <c r="C133" s="73"/>
      <c r="D133" s="73"/>
      <c r="E133" s="73"/>
      <c r="F133" s="73"/>
      <c r="G133" s="73"/>
      <c r="H133" s="73"/>
      <c r="I133" s="73"/>
      <c r="J133" s="73"/>
      <c r="K133" s="73"/>
      <c r="L133" s="73"/>
      <c r="M133" s="73"/>
      <c r="N133" s="73"/>
      <c r="O133" s="73"/>
      <c r="P133" s="73"/>
      <c r="Q133" s="73"/>
      <c r="R133" s="73"/>
      <c r="S133" s="73"/>
      <c r="T133" s="73"/>
      <c r="U133" s="74"/>
    </row>
    <row r="134" spans="2:21" s="15" customFormat="1" x14ac:dyDescent="0.25">
      <c r="B134" s="72" t="s">
        <v>3144</v>
      </c>
      <c r="C134" s="73"/>
      <c r="D134" s="73"/>
      <c r="E134" s="73"/>
      <c r="F134" s="73"/>
      <c r="G134" s="73"/>
      <c r="H134" s="73"/>
      <c r="I134" s="73"/>
      <c r="J134" s="73"/>
      <c r="K134" s="73"/>
      <c r="L134" s="73"/>
      <c r="M134" s="73"/>
      <c r="N134" s="73"/>
      <c r="O134" s="73"/>
      <c r="P134" s="73"/>
      <c r="Q134" s="73"/>
      <c r="R134" s="73"/>
      <c r="S134" s="73"/>
      <c r="T134" s="73"/>
      <c r="U134" s="74"/>
    </row>
    <row r="135" spans="2:21" s="15" customFormat="1" x14ac:dyDescent="0.25">
      <c r="B135" s="72" t="s">
        <v>3145</v>
      </c>
      <c r="C135" s="73"/>
      <c r="D135" s="73"/>
      <c r="E135" s="73"/>
      <c r="F135" s="73"/>
      <c r="G135" s="73"/>
      <c r="H135" s="73"/>
      <c r="I135" s="73"/>
      <c r="J135" s="73"/>
      <c r="K135" s="73"/>
      <c r="L135" s="73"/>
      <c r="M135" s="73"/>
      <c r="N135" s="73"/>
      <c r="O135" s="73"/>
      <c r="P135" s="73"/>
      <c r="Q135" s="73"/>
      <c r="R135" s="73"/>
      <c r="S135" s="73"/>
      <c r="T135" s="73"/>
      <c r="U135" s="74"/>
    </row>
    <row r="136" spans="2:21" s="15" customFormat="1" x14ac:dyDescent="0.25">
      <c r="B136" s="72" t="s">
        <v>3151</v>
      </c>
      <c r="C136" s="73"/>
      <c r="D136" s="73"/>
      <c r="E136" s="73"/>
      <c r="F136" s="73"/>
      <c r="G136" s="73"/>
      <c r="H136" s="73"/>
      <c r="I136" s="73"/>
      <c r="J136" s="73"/>
      <c r="K136" s="73"/>
      <c r="L136" s="73"/>
      <c r="M136" s="73"/>
      <c r="N136" s="73"/>
      <c r="O136" s="73"/>
      <c r="P136" s="73"/>
      <c r="Q136" s="73"/>
      <c r="R136" s="73"/>
      <c r="S136" s="73"/>
      <c r="T136" s="73"/>
      <c r="U136" s="74"/>
    </row>
    <row r="137" spans="2:21" s="15" customFormat="1" x14ac:dyDescent="0.25">
      <c r="B137" s="72" t="s">
        <v>3152</v>
      </c>
      <c r="C137" s="73"/>
      <c r="D137" s="73"/>
      <c r="E137" s="73"/>
      <c r="F137" s="73"/>
      <c r="G137" s="73"/>
      <c r="H137" s="73"/>
      <c r="I137" s="73"/>
      <c r="J137" s="73"/>
      <c r="K137" s="73"/>
      <c r="L137" s="73"/>
      <c r="M137" s="73"/>
      <c r="N137" s="73"/>
      <c r="O137" s="73"/>
      <c r="P137" s="73"/>
      <c r="Q137" s="73"/>
      <c r="R137" s="73"/>
      <c r="S137" s="73"/>
      <c r="T137" s="73"/>
      <c r="U137" s="74"/>
    </row>
    <row r="138" spans="2:21" s="15" customFormat="1" x14ac:dyDescent="0.25">
      <c r="B138" s="72" t="s">
        <v>3058</v>
      </c>
      <c r="C138" s="73"/>
      <c r="D138" s="73"/>
      <c r="E138" s="73"/>
      <c r="F138" s="73"/>
      <c r="G138" s="73"/>
      <c r="H138" s="73"/>
      <c r="I138" s="73"/>
      <c r="J138" s="73"/>
      <c r="K138" s="73"/>
      <c r="L138" s="73"/>
      <c r="M138" s="73"/>
      <c r="N138" s="73"/>
      <c r="O138" s="73"/>
      <c r="P138" s="73"/>
      <c r="Q138" s="73"/>
      <c r="R138" s="73"/>
      <c r="S138" s="73"/>
      <c r="T138" s="73"/>
      <c r="U138" s="74"/>
    </row>
    <row r="139" spans="2:21" s="15" customFormat="1" x14ac:dyDescent="0.25">
      <c r="B139" s="72" t="s">
        <v>3153</v>
      </c>
      <c r="C139" s="73"/>
      <c r="D139" s="73"/>
      <c r="E139" s="73"/>
      <c r="F139" s="73"/>
      <c r="G139" s="73"/>
      <c r="H139" s="73"/>
      <c r="I139" s="73"/>
      <c r="J139" s="73"/>
      <c r="K139" s="73"/>
      <c r="L139" s="73"/>
      <c r="M139" s="73"/>
      <c r="N139" s="73"/>
      <c r="O139" s="73"/>
      <c r="P139" s="73"/>
      <c r="Q139" s="73"/>
      <c r="R139" s="73"/>
      <c r="S139" s="73"/>
      <c r="T139" s="73"/>
      <c r="U139" s="74"/>
    </row>
    <row r="140" spans="2:21" s="15" customFormat="1" x14ac:dyDescent="0.25">
      <c r="B140" s="72" t="s">
        <v>3154</v>
      </c>
      <c r="C140" s="73"/>
      <c r="D140" s="73"/>
      <c r="E140" s="73"/>
      <c r="F140" s="73"/>
      <c r="G140" s="73"/>
      <c r="H140" s="73"/>
      <c r="I140" s="73"/>
      <c r="J140" s="73"/>
      <c r="K140" s="73"/>
      <c r="L140" s="73"/>
      <c r="M140" s="73"/>
      <c r="N140" s="73"/>
      <c r="O140" s="73"/>
      <c r="P140" s="73"/>
      <c r="Q140" s="73"/>
      <c r="R140" s="73"/>
      <c r="S140" s="73"/>
      <c r="T140" s="73"/>
      <c r="U140" s="74"/>
    </row>
    <row r="141" spans="2:21" s="15" customFormat="1" x14ac:dyDescent="0.25">
      <c r="B141" s="72" t="s">
        <v>3155</v>
      </c>
      <c r="C141" s="73"/>
      <c r="D141" s="73"/>
      <c r="E141" s="73"/>
      <c r="F141" s="73"/>
      <c r="G141" s="73"/>
      <c r="H141" s="73"/>
      <c r="I141" s="73"/>
      <c r="J141" s="73"/>
      <c r="K141" s="73"/>
      <c r="L141" s="73"/>
      <c r="M141" s="73"/>
      <c r="N141" s="73"/>
      <c r="O141" s="73"/>
      <c r="P141" s="73"/>
      <c r="Q141" s="73"/>
      <c r="R141" s="73"/>
      <c r="S141" s="73"/>
      <c r="T141" s="73"/>
      <c r="U141" s="74"/>
    </row>
    <row r="142" spans="2:21" s="15" customFormat="1" x14ac:dyDescent="0.25">
      <c r="B142" s="72" t="s">
        <v>3156</v>
      </c>
      <c r="C142" s="73"/>
      <c r="D142" s="73"/>
      <c r="E142" s="73"/>
      <c r="F142" s="73"/>
      <c r="G142" s="73"/>
      <c r="H142" s="73"/>
      <c r="I142" s="73"/>
      <c r="J142" s="73"/>
      <c r="K142" s="73"/>
      <c r="L142" s="73"/>
      <c r="M142" s="73"/>
      <c r="N142" s="73"/>
      <c r="O142" s="73"/>
      <c r="P142" s="73"/>
      <c r="Q142" s="73"/>
      <c r="R142" s="73"/>
      <c r="S142" s="73"/>
      <c r="T142" s="73"/>
      <c r="U142" s="74"/>
    </row>
    <row r="143" spans="2:21" s="15" customFormat="1" x14ac:dyDescent="0.25">
      <c r="B143" s="72" t="s">
        <v>3157</v>
      </c>
      <c r="C143" s="73"/>
      <c r="D143" s="73"/>
      <c r="E143" s="73"/>
      <c r="F143" s="73"/>
      <c r="G143" s="73"/>
      <c r="H143" s="73"/>
      <c r="I143" s="73"/>
      <c r="J143" s="73"/>
      <c r="K143" s="73"/>
      <c r="L143" s="73"/>
      <c r="M143" s="73"/>
      <c r="N143" s="73"/>
      <c r="O143" s="73"/>
      <c r="P143" s="73"/>
      <c r="Q143" s="73"/>
      <c r="R143" s="73"/>
      <c r="S143" s="73"/>
      <c r="T143" s="73"/>
      <c r="U143" s="74"/>
    </row>
    <row r="144" spans="2:21" s="15" customFormat="1" x14ac:dyDescent="0.25">
      <c r="B144" s="72" t="s">
        <v>3125</v>
      </c>
      <c r="C144" s="73"/>
      <c r="D144" s="73"/>
      <c r="E144" s="73"/>
      <c r="F144" s="73"/>
      <c r="G144" s="73"/>
      <c r="H144" s="73"/>
      <c r="I144" s="73"/>
      <c r="J144" s="73"/>
      <c r="K144" s="73"/>
      <c r="L144" s="73"/>
      <c r="M144" s="73"/>
      <c r="N144" s="73"/>
      <c r="O144" s="73"/>
      <c r="P144" s="73"/>
      <c r="Q144" s="73"/>
      <c r="R144" s="73"/>
      <c r="S144" s="73"/>
      <c r="T144" s="73"/>
      <c r="U144" s="74"/>
    </row>
    <row r="145" spans="2:21" s="15" customFormat="1" x14ac:dyDescent="0.25">
      <c r="B145" s="72" t="s">
        <v>3158</v>
      </c>
      <c r="C145" s="73"/>
      <c r="D145" s="73"/>
      <c r="E145" s="73"/>
      <c r="F145" s="73"/>
      <c r="G145" s="73"/>
      <c r="H145" s="73"/>
      <c r="I145" s="73"/>
      <c r="J145" s="73"/>
      <c r="K145" s="73"/>
      <c r="L145" s="73"/>
      <c r="M145" s="73"/>
      <c r="N145" s="73"/>
      <c r="O145" s="73"/>
      <c r="P145" s="73"/>
      <c r="Q145" s="73"/>
      <c r="R145" s="73"/>
      <c r="S145" s="73"/>
      <c r="T145" s="73"/>
      <c r="U145" s="74"/>
    </row>
    <row r="146" spans="2:21" s="15" customFormat="1" x14ac:dyDescent="0.25">
      <c r="B146" s="72" t="s">
        <v>3159</v>
      </c>
      <c r="C146" s="73"/>
      <c r="D146" s="73"/>
      <c r="E146" s="73"/>
      <c r="F146" s="73"/>
      <c r="G146" s="73"/>
      <c r="H146" s="73"/>
      <c r="I146" s="73"/>
      <c r="J146" s="73"/>
      <c r="K146" s="73"/>
      <c r="L146" s="73"/>
      <c r="M146" s="73"/>
      <c r="N146" s="73"/>
      <c r="O146" s="73"/>
      <c r="P146" s="73"/>
      <c r="Q146" s="73"/>
      <c r="R146" s="73"/>
      <c r="S146" s="73"/>
      <c r="T146" s="73"/>
      <c r="U146" s="74"/>
    </row>
    <row r="147" spans="2:21" s="15" customFormat="1" x14ac:dyDescent="0.25">
      <c r="B147" s="72" t="s">
        <v>3146</v>
      </c>
      <c r="C147" s="73"/>
      <c r="D147" s="73"/>
      <c r="E147" s="73"/>
      <c r="F147" s="73"/>
      <c r="G147" s="73"/>
      <c r="H147" s="73"/>
      <c r="I147" s="73"/>
      <c r="J147" s="73"/>
      <c r="K147" s="73"/>
      <c r="L147" s="73"/>
      <c r="M147" s="73"/>
      <c r="N147" s="73"/>
      <c r="O147" s="73"/>
      <c r="P147" s="73"/>
      <c r="Q147" s="73"/>
      <c r="R147" s="73"/>
      <c r="S147" s="73"/>
      <c r="T147" s="73"/>
      <c r="U147" s="74"/>
    </row>
    <row r="148" spans="2:21" s="15" customFormat="1" x14ac:dyDescent="0.25">
      <c r="B148" s="72" t="s">
        <v>3125</v>
      </c>
      <c r="C148" s="73"/>
      <c r="D148" s="73"/>
      <c r="E148" s="73"/>
      <c r="F148" s="73"/>
      <c r="G148" s="73"/>
      <c r="H148" s="73"/>
      <c r="I148" s="73"/>
      <c r="J148" s="73"/>
      <c r="K148" s="73"/>
      <c r="L148" s="73"/>
      <c r="M148" s="73"/>
      <c r="N148" s="73"/>
      <c r="O148" s="73"/>
      <c r="P148" s="73"/>
      <c r="Q148" s="73"/>
      <c r="R148" s="73"/>
      <c r="S148" s="73"/>
      <c r="T148" s="73"/>
      <c r="U148" s="74"/>
    </row>
    <row r="149" spans="2:21" s="15" customFormat="1" x14ac:dyDescent="0.25">
      <c r="B149" s="72" t="s">
        <v>3160</v>
      </c>
      <c r="C149" s="73"/>
      <c r="D149" s="73"/>
      <c r="E149" s="73"/>
      <c r="F149" s="73"/>
      <c r="G149" s="73"/>
      <c r="H149" s="73"/>
      <c r="I149" s="73"/>
      <c r="J149" s="73"/>
      <c r="K149" s="73"/>
      <c r="L149" s="73"/>
      <c r="M149" s="73"/>
      <c r="N149" s="73"/>
      <c r="O149" s="73"/>
      <c r="P149" s="73"/>
      <c r="Q149" s="73"/>
      <c r="R149" s="73"/>
      <c r="S149" s="73"/>
      <c r="T149" s="73"/>
      <c r="U149" s="74"/>
    </row>
    <row r="150" spans="2:21" s="15" customFormat="1" x14ac:dyDescent="0.25">
      <c r="B150" s="72" t="s">
        <v>3161</v>
      </c>
      <c r="C150" s="73"/>
      <c r="D150" s="73"/>
      <c r="E150" s="73"/>
      <c r="F150" s="73"/>
      <c r="G150" s="73"/>
      <c r="H150" s="73"/>
      <c r="I150" s="73"/>
      <c r="J150" s="73"/>
      <c r="K150" s="73"/>
      <c r="L150" s="73"/>
      <c r="M150" s="73"/>
      <c r="N150" s="73"/>
      <c r="O150" s="73"/>
      <c r="P150" s="73"/>
      <c r="Q150" s="73"/>
      <c r="R150" s="73"/>
      <c r="S150" s="73"/>
      <c r="T150" s="73"/>
      <c r="U150" s="74"/>
    </row>
    <row r="151" spans="2:21" s="15" customFormat="1" x14ac:dyDescent="0.25">
      <c r="B151" s="72" t="s">
        <v>3151</v>
      </c>
      <c r="C151" s="73"/>
      <c r="D151" s="73"/>
      <c r="E151" s="73"/>
      <c r="F151" s="73"/>
      <c r="G151" s="73"/>
      <c r="H151" s="73"/>
      <c r="I151" s="73"/>
      <c r="J151" s="73"/>
      <c r="K151" s="73"/>
      <c r="L151" s="73"/>
      <c r="M151" s="73"/>
      <c r="N151" s="73"/>
      <c r="O151" s="73"/>
      <c r="P151" s="73"/>
      <c r="Q151" s="73"/>
      <c r="R151" s="73"/>
      <c r="S151" s="73"/>
      <c r="T151" s="73"/>
      <c r="U151" s="74"/>
    </row>
    <row r="152" spans="2:21" s="15" customFormat="1" x14ac:dyDescent="0.25">
      <c r="B152" s="72" t="s">
        <v>3152</v>
      </c>
      <c r="C152" s="73"/>
      <c r="D152" s="73"/>
      <c r="E152" s="73"/>
      <c r="F152" s="73"/>
      <c r="G152" s="73"/>
      <c r="H152" s="73"/>
      <c r="I152" s="73"/>
      <c r="J152" s="73"/>
      <c r="K152" s="73"/>
      <c r="L152" s="73"/>
      <c r="M152" s="73"/>
      <c r="N152" s="73"/>
      <c r="O152" s="73"/>
      <c r="P152" s="73"/>
      <c r="Q152" s="73"/>
      <c r="R152" s="73"/>
      <c r="S152" s="73"/>
      <c r="T152" s="73"/>
      <c r="U152" s="74"/>
    </row>
    <row r="153" spans="2:21" s="15" customFormat="1" x14ac:dyDescent="0.25">
      <c r="B153" s="72" t="s">
        <v>3058</v>
      </c>
      <c r="C153" s="73"/>
      <c r="D153" s="73"/>
      <c r="E153" s="73"/>
      <c r="F153" s="73"/>
      <c r="G153" s="73"/>
      <c r="H153" s="73"/>
      <c r="I153" s="73"/>
      <c r="J153" s="73"/>
      <c r="K153" s="73"/>
      <c r="L153" s="73"/>
      <c r="M153" s="73"/>
      <c r="N153" s="73"/>
      <c r="O153" s="73"/>
      <c r="P153" s="73"/>
      <c r="Q153" s="73"/>
      <c r="R153" s="73"/>
      <c r="S153" s="73"/>
      <c r="T153" s="73"/>
      <c r="U153" s="74"/>
    </row>
    <row r="154" spans="2:21" s="15" customFormat="1" x14ac:dyDescent="0.25">
      <c r="B154" s="72" t="s">
        <v>3162</v>
      </c>
      <c r="C154" s="73"/>
      <c r="D154" s="73"/>
      <c r="E154" s="73"/>
      <c r="F154" s="73"/>
      <c r="G154" s="73"/>
      <c r="H154" s="73"/>
      <c r="I154" s="73"/>
      <c r="J154" s="73"/>
      <c r="K154" s="73"/>
      <c r="L154" s="73"/>
      <c r="M154" s="73"/>
      <c r="N154" s="73"/>
      <c r="O154" s="73"/>
      <c r="P154" s="73"/>
      <c r="Q154" s="73"/>
      <c r="R154" s="73"/>
      <c r="S154" s="73"/>
      <c r="T154" s="73"/>
      <c r="U154" s="74"/>
    </row>
    <row r="155" spans="2:21" s="15" customFormat="1" x14ac:dyDescent="0.25">
      <c r="B155" s="72" t="s">
        <v>3085</v>
      </c>
      <c r="C155" s="73"/>
      <c r="D155" s="73"/>
      <c r="E155" s="73"/>
      <c r="F155" s="73"/>
      <c r="G155" s="73"/>
      <c r="H155" s="73"/>
      <c r="I155" s="73"/>
      <c r="J155" s="73"/>
      <c r="K155" s="73"/>
      <c r="L155" s="73"/>
      <c r="M155" s="73"/>
      <c r="N155" s="73"/>
      <c r="O155" s="73"/>
      <c r="P155" s="73"/>
      <c r="Q155" s="73"/>
      <c r="R155" s="73"/>
      <c r="S155" s="73"/>
      <c r="T155" s="73"/>
      <c r="U155" s="74"/>
    </row>
    <row r="156" spans="2:21" s="15" customFormat="1" x14ac:dyDescent="0.25">
      <c r="B156" s="72" t="s">
        <v>3163</v>
      </c>
      <c r="C156" s="73"/>
      <c r="D156" s="73"/>
      <c r="E156" s="73"/>
      <c r="F156" s="73"/>
      <c r="G156" s="73"/>
      <c r="H156" s="73"/>
      <c r="I156" s="73"/>
      <c r="J156" s="73"/>
      <c r="K156" s="73"/>
      <c r="L156" s="73"/>
      <c r="M156" s="73"/>
      <c r="N156" s="73"/>
      <c r="O156" s="73"/>
      <c r="P156" s="73"/>
      <c r="Q156" s="73"/>
      <c r="R156" s="73"/>
      <c r="S156" s="73"/>
      <c r="T156" s="73"/>
      <c r="U156" s="74"/>
    </row>
    <row r="157" spans="2:21" s="15" customFormat="1" x14ac:dyDescent="0.25">
      <c r="B157" s="72" t="s">
        <v>3164</v>
      </c>
      <c r="C157" s="73"/>
      <c r="D157" s="73"/>
      <c r="E157" s="73"/>
      <c r="F157" s="73"/>
      <c r="G157" s="73"/>
      <c r="H157" s="73"/>
      <c r="I157" s="73"/>
      <c r="J157" s="73"/>
      <c r="K157" s="73"/>
      <c r="L157" s="73"/>
      <c r="M157" s="73"/>
      <c r="N157" s="73"/>
      <c r="O157" s="73"/>
      <c r="P157" s="73"/>
      <c r="Q157" s="73"/>
      <c r="R157" s="73"/>
      <c r="S157" s="73"/>
      <c r="T157" s="73"/>
      <c r="U157" s="74"/>
    </row>
    <row r="158" spans="2:21" s="15" customFormat="1" x14ac:dyDescent="0.25">
      <c r="B158" s="72" t="s">
        <v>3083</v>
      </c>
      <c r="C158" s="73"/>
      <c r="D158" s="73"/>
      <c r="E158" s="73"/>
      <c r="F158" s="73"/>
      <c r="G158" s="73"/>
      <c r="H158" s="73"/>
      <c r="I158" s="73"/>
      <c r="J158" s="73"/>
      <c r="K158" s="73"/>
      <c r="L158" s="73"/>
      <c r="M158" s="73"/>
      <c r="N158" s="73"/>
      <c r="O158" s="73"/>
      <c r="P158" s="73"/>
      <c r="Q158" s="73"/>
      <c r="R158" s="73"/>
      <c r="S158" s="73"/>
      <c r="T158" s="73"/>
      <c r="U158" s="74"/>
    </row>
    <row r="159" spans="2:21" s="15" customFormat="1" x14ac:dyDescent="0.25">
      <c r="B159" s="72" t="s">
        <v>3093</v>
      </c>
      <c r="C159" s="73"/>
      <c r="D159" s="73"/>
      <c r="E159" s="73"/>
      <c r="F159" s="73"/>
      <c r="G159" s="73"/>
      <c r="H159" s="73"/>
      <c r="I159" s="73"/>
      <c r="J159" s="73"/>
      <c r="K159" s="73"/>
      <c r="L159" s="73"/>
      <c r="M159" s="73"/>
      <c r="N159" s="73"/>
      <c r="O159" s="73"/>
      <c r="P159" s="73"/>
      <c r="Q159" s="73"/>
      <c r="R159" s="73"/>
      <c r="S159" s="73"/>
      <c r="T159" s="73"/>
      <c r="U159" s="74"/>
    </row>
    <row r="160" spans="2:21" s="15" customFormat="1" x14ac:dyDescent="0.25">
      <c r="B160" s="72" t="s">
        <v>3165</v>
      </c>
      <c r="C160" s="73"/>
      <c r="D160" s="73"/>
      <c r="E160" s="73"/>
      <c r="F160" s="73"/>
      <c r="G160" s="73"/>
      <c r="H160" s="73"/>
      <c r="I160" s="73"/>
      <c r="J160" s="73"/>
      <c r="K160" s="73"/>
      <c r="L160" s="73"/>
      <c r="M160" s="73"/>
      <c r="N160" s="73"/>
      <c r="O160" s="73"/>
      <c r="P160" s="73"/>
      <c r="Q160" s="73"/>
      <c r="R160" s="73"/>
      <c r="S160" s="73"/>
      <c r="T160" s="73"/>
      <c r="U160" s="74"/>
    </row>
    <row r="161" spans="2:21" s="15" customFormat="1" x14ac:dyDescent="0.25">
      <c r="B161" s="72" t="s">
        <v>3085</v>
      </c>
      <c r="C161" s="73"/>
      <c r="D161" s="73"/>
      <c r="E161" s="73"/>
      <c r="F161" s="73"/>
      <c r="G161" s="73"/>
      <c r="H161" s="73"/>
      <c r="I161" s="73"/>
      <c r="J161" s="73"/>
      <c r="K161" s="73"/>
      <c r="L161" s="73"/>
      <c r="M161" s="73"/>
      <c r="N161" s="73"/>
      <c r="O161" s="73"/>
      <c r="P161" s="73"/>
      <c r="Q161" s="73"/>
      <c r="R161" s="73"/>
      <c r="S161" s="73"/>
      <c r="T161" s="73"/>
      <c r="U161" s="74"/>
    </row>
    <row r="162" spans="2:21" s="15" customFormat="1" x14ac:dyDescent="0.25">
      <c r="B162" s="72" t="s">
        <v>3166</v>
      </c>
      <c r="C162" s="73"/>
      <c r="D162" s="73"/>
      <c r="E162" s="73"/>
      <c r="F162" s="73"/>
      <c r="G162" s="73"/>
      <c r="H162" s="73"/>
      <c r="I162" s="73"/>
      <c r="J162" s="73"/>
      <c r="K162" s="73"/>
      <c r="L162" s="73"/>
      <c r="M162" s="73"/>
      <c r="N162" s="73"/>
      <c r="O162" s="73"/>
      <c r="P162" s="73"/>
      <c r="Q162" s="73"/>
      <c r="R162" s="73"/>
      <c r="S162" s="73"/>
      <c r="T162" s="73"/>
      <c r="U162" s="74"/>
    </row>
    <row r="163" spans="2:21" s="15" customFormat="1" x14ac:dyDescent="0.25">
      <c r="B163" s="72" t="s">
        <v>3167</v>
      </c>
      <c r="C163" s="73"/>
      <c r="D163" s="73"/>
      <c r="E163" s="73"/>
      <c r="F163" s="73"/>
      <c r="G163" s="73"/>
      <c r="H163" s="73"/>
      <c r="I163" s="73"/>
      <c r="J163" s="73"/>
      <c r="K163" s="73"/>
      <c r="L163" s="73"/>
      <c r="M163" s="73"/>
      <c r="N163" s="73"/>
      <c r="O163" s="73"/>
      <c r="P163" s="73"/>
      <c r="Q163" s="73"/>
      <c r="R163" s="73"/>
      <c r="S163" s="73"/>
      <c r="T163" s="73"/>
      <c r="U163" s="74"/>
    </row>
    <row r="164" spans="2:21" s="15" customFormat="1" x14ac:dyDescent="0.25">
      <c r="B164" s="72" t="s">
        <v>3168</v>
      </c>
      <c r="C164" s="73"/>
      <c r="D164" s="73"/>
      <c r="E164" s="73"/>
      <c r="F164" s="73"/>
      <c r="G164" s="73"/>
      <c r="H164" s="73"/>
      <c r="I164" s="73"/>
      <c r="J164" s="73"/>
      <c r="K164" s="73"/>
      <c r="L164" s="73"/>
      <c r="M164" s="73"/>
      <c r="N164" s="73"/>
      <c r="O164" s="73"/>
      <c r="P164" s="73"/>
      <c r="Q164" s="73"/>
      <c r="R164" s="73"/>
      <c r="S164" s="73"/>
      <c r="T164" s="73"/>
      <c r="U164" s="74"/>
    </row>
    <row r="165" spans="2:21" s="15" customFormat="1" x14ac:dyDescent="0.25">
      <c r="B165" s="72" t="s">
        <v>3169</v>
      </c>
      <c r="C165" s="73"/>
      <c r="D165" s="73"/>
      <c r="E165" s="73"/>
      <c r="F165" s="73"/>
      <c r="G165" s="73"/>
      <c r="H165" s="73"/>
      <c r="I165" s="73"/>
      <c r="J165" s="73"/>
      <c r="K165" s="73"/>
      <c r="L165" s="73"/>
      <c r="M165" s="73"/>
      <c r="N165" s="73"/>
      <c r="O165" s="73"/>
      <c r="P165" s="73"/>
      <c r="Q165" s="73"/>
      <c r="R165" s="73"/>
      <c r="S165" s="73"/>
      <c r="T165" s="73"/>
      <c r="U165" s="74"/>
    </row>
    <row r="166" spans="2:21" s="15" customFormat="1" x14ac:dyDescent="0.25">
      <c r="B166" s="72" t="s">
        <v>3170</v>
      </c>
      <c r="C166" s="73"/>
      <c r="D166" s="73"/>
      <c r="E166" s="73"/>
      <c r="F166" s="73"/>
      <c r="G166" s="73"/>
      <c r="H166" s="73"/>
      <c r="I166" s="73"/>
      <c r="J166" s="73"/>
      <c r="K166" s="73"/>
      <c r="L166" s="73"/>
      <c r="M166" s="73"/>
      <c r="N166" s="73"/>
      <c r="O166" s="73"/>
      <c r="P166" s="73"/>
      <c r="Q166" s="73"/>
      <c r="R166" s="73"/>
      <c r="S166" s="73"/>
      <c r="T166" s="73"/>
      <c r="U166" s="74"/>
    </row>
    <row r="167" spans="2:21" s="15" customFormat="1" x14ac:dyDescent="0.25">
      <c r="B167" s="72" t="s">
        <v>3171</v>
      </c>
      <c r="C167" s="73"/>
      <c r="D167" s="73"/>
      <c r="E167" s="73"/>
      <c r="F167" s="73"/>
      <c r="G167" s="73"/>
      <c r="H167" s="73"/>
      <c r="I167" s="73"/>
      <c r="J167" s="73"/>
      <c r="K167" s="73"/>
      <c r="L167" s="73"/>
      <c r="M167" s="73"/>
      <c r="N167" s="73"/>
      <c r="O167" s="73"/>
      <c r="P167" s="73"/>
      <c r="Q167" s="73"/>
      <c r="R167" s="73"/>
      <c r="S167" s="73"/>
      <c r="T167" s="73"/>
      <c r="U167" s="74"/>
    </row>
    <row r="168" spans="2:21" s="15" customFormat="1" x14ac:dyDescent="0.25">
      <c r="B168" s="72" t="s">
        <v>3172</v>
      </c>
      <c r="C168" s="73"/>
      <c r="D168" s="73"/>
      <c r="E168" s="73"/>
      <c r="F168" s="73"/>
      <c r="G168" s="73"/>
      <c r="H168" s="73"/>
      <c r="I168" s="73"/>
      <c r="J168" s="73"/>
      <c r="K168" s="73"/>
      <c r="L168" s="73"/>
      <c r="M168" s="73"/>
      <c r="N168" s="73"/>
      <c r="O168" s="73"/>
      <c r="P168" s="73"/>
      <c r="Q168" s="73"/>
      <c r="R168" s="73"/>
      <c r="S168" s="73"/>
      <c r="T168" s="73"/>
      <c r="U168" s="74"/>
    </row>
    <row r="169" spans="2:21" s="15" customFormat="1" x14ac:dyDescent="0.25">
      <c r="B169" s="72" t="s">
        <v>3173</v>
      </c>
      <c r="C169" s="73"/>
      <c r="D169" s="73"/>
      <c r="E169" s="73"/>
      <c r="F169" s="73"/>
      <c r="G169" s="73"/>
      <c r="H169" s="73"/>
      <c r="I169" s="73"/>
      <c r="J169" s="73"/>
      <c r="K169" s="73"/>
      <c r="L169" s="73"/>
      <c r="M169" s="73"/>
      <c r="N169" s="73"/>
      <c r="O169" s="73"/>
      <c r="P169" s="73"/>
      <c r="Q169" s="73"/>
      <c r="R169" s="73"/>
      <c r="S169" s="73"/>
      <c r="T169" s="73"/>
      <c r="U169" s="74"/>
    </row>
    <row r="170" spans="2:21" s="15" customFormat="1" x14ac:dyDescent="0.25">
      <c r="B170" s="72" t="s">
        <v>3174</v>
      </c>
      <c r="C170" s="73"/>
      <c r="D170" s="73"/>
      <c r="E170" s="73"/>
      <c r="F170" s="73"/>
      <c r="G170" s="73"/>
      <c r="H170" s="73"/>
      <c r="I170" s="73"/>
      <c r="J170" s="73"/>
      <c r="K170" s="73"/>
      <c r="L170" s="73"/>
      <c r="M170" s="73"/>
      <c r="N170" s="73"/>
      <c r="O170" s="73"/>
      <c r="P170" s="73"/>
      <c r="Q170" s="73"/>
      <c r="R170" s="73"/>
      <c r="S170" s="73"/>
      <c r="T170" s="73"/>
      <c r="U170" s="74"/>
    </row>
    <row r="171" spans="2:21" s="15" customFormat="1" x14ac:dyDescent="0.25">
      <c r="B171" s="72" t="s">
        <v>3175</v>
      </c>
      <c r="C171" s="73"/>
      <c r="D171" s="73"/>
      <c r="E171" s="73"/>
      <c r="F171" s="73"/>
      <c r="G171" s="73"/>
      <c r="H171" s="73"/>
      <c r="I171" s="73"/>
      <c r="J171" s="73"/>
      <c r="K171" s="73"/>
      <c r="L171" s="73"/>
      <c r="M171" s="73"/>
      <c r="N171" s="73"/>
      <c r="O171" s="73"/>
      <c r="P171" s="73"/>
      <c r="Q171" s="73"/>
      <c r="R171" s="73"/>
      <c r="S171" s="73"/>
      <c r="T171" s="73"/>
      <c r="U171" s="74"/>
    </row>
    <row r="172" spans="2:21" s="15" customFormat="1" x14ac:dyDescent="0.25">
      <c r="B172" s="72" t="s">
        <v>3176</v>
      </c>
      <c r="C172" s="73"/>
      <c r="D172" s="73"/>
      <c r="E172" s="73"/>
      <c r="F172" s="73"/>
      <c r="G172" s="73"/>
      <c r="H172" s="73"/>
      <c r="I172" s="73"/>
      <c r="J172" s="73"/>
      <c r="K172" s="73"/>
      <c r="L172" s="73"/>
      <c r="M172" s="73"/>
      <c r="N172" s="73"/>
      <c r="O172" s="73"/>
      <c r="P172" s="73"/>
      <c r="Q172" s="73"/>
      <c r="R172" s="73"/>
      <c r="S172" s="73"/>
      <c r="T172" s="73"/>
      <c r="U172" s="74"/>
    </row>
    <row r="173" spans="2:21" s="15" customFormat="1" x14ac:dyDescent="0.25">
      <c r="B173" s="72" t="s">
        <v>3177</v>
      </c>
      <c r="C173" s="73"/>
      <c r="D173" s="73"/>
      <c r="E173" s="73"/>
      <c r="F173" s="73"/>
      <c r="G173" s="73"/>
      <c r="H173" s="73"/>
      <c r="I173" s="73"/>
      <c r="J173" s="73"/>
      <c r="K173" s="73"/>
      <c r="L173" s="73"/>
      <c r="M173" s="73"/>
      <c r="N173" s="73"/>
      <c r="O173" s="73"/>
      <c r="P173" s="73"/>
      <c r="Q173" s="73"/>
      <c r="R173" s="73"/>
      <c r="S173" s="73"/>
      <c r="T173" s="73"/>
      <c r="U173" s="74"/>
    </row>
    <row r="174" spans="2:21" s="15" customFormat="1" x14ac:dyDescent="0.25">
      <c r="B174" s="72" t="s">
        <v>3178</v>
      </c>
      <c r="C174" s="73"/>
      <c r="D174" s="73"/>
      <c r="E174" s="73"/>
      <c r="F174" s="73"/>
      <c r="G174" s="73"/>
      <c r="H174" s="73"/>
      <c r="I174" s="73"/>
      <c r="J174" s="73"/>
      <c r="K174" s="73"/>
      <c r="L174" s="73"/>
      <c r="M174" s="73"/>
      <c r="N174" s="73"/>
      <c r="O174" s="73"/>
      <c r="P174" s="73"/>
      <c r="Q174" s="73"/>
      <c r="R174" s="73"/>
      <c r="S174" s="73"/>
      <c r="T174" s="73"/>
      <c r="U174" s="74"/>
    </row>
    <row r="175" spans="2:21" s="15" customFormat="1" x14ac:dyDescent="0.25">
      <c r="B175" s="72" t="s">
        <v>3179</v>
      </c>
      <c r="C175" s="73"/>
      <c r="D175" s="73"/>
      <c r="E175" s="73"/>
      <c r="F175" s="73"/>
      <c r="G175" s="73"/>
      <c r="H175" s="73"/>
      <c r="I175" s="73"/>
      <c r="J175" s="73"/>
      <c r="K175" s="73"/>
      <c r="L175" s="73"/>
      <c r="M175" s="73"/>
      <c r="N175" s="73"/>
      <c r="O175" s="73"/>
      <c r="P175" s="73"/>
      <c r="Q175" s="73"/>
      <c r="R175" s="73"/>
      <c r="S175" s="73"/>
      <c r="T175" s="73"/>
      <c r="U175" s="74"/>
    </row>
    <row r="176" spans="2:21" s="15" customFormat="1" x14ac:dyDescent="0.25">
      <c r="B176" s="72" t="s">
        <v>3180</v>
      </c>
      <c r="C176" s="73"/>
      <c r="D176" s="73"/>
      <c r="E176" s="73"/>
      <c r="F176" s="73"/>
      <c r="G176" s="73"/>
      <c r="H176" s="73"/>
      <c r="I176" s="73"/>
      <c r="J176" s="73"/>
      <c r="K176" s="73"/>
      <c r="L176" s="73"/>
      <c r="M176" s="73"/>
      <c r="N176" s="73"/>
      <c r="O176" s="73"/>
      <c r="P176" s="73"/>
      <c r="Q176" s="73"/>
      <c r="R176" s="73"/>
      <c r="S176" s="73"/>
      <c r="T176" s="73"/>
      <c r="U176" s="74"/>
    </row>
    <row r="177" spans="2:21" s="15" customFormat="1" x14ac:dyDescent="0.25">
      <c r="B177" s="72" t="s">
        <v>3181</v>
      </c>
      <c r="C177" s="73"/>
      <c r="D177" s="73"/>
      <c r="E177" s="73"/>
      <c r="F177" s="73"/>
      <c r="G177" s="73"/>
      <c r="H177" s="73"/>
      <c r="I177" s="73"/>
      <c r="J177" s="73"/>
      <c r="K177" s="73"/>
      <c r="L177" s="73"/>
      <c r="M177" s="73"/>
      <c r="N177" s="73"/>
      <c r="O177" s="73"/>
      <c r="P177" s="73"/>
      <c r="Q177" s="73"/>
      <c r="R177" s="73"/>
      <c r="S177" s="73"/>
      <c r="T177" s="73"/>
      <c r="U177" s="74"/>
    </row>
    <row r="178" spans="2:21" s="15" customFormat="1" x14ac:dyDescent="0.25">
      <c r="B178" s="72" t="s">
        <v>3085</v>
      </c>
      <c r="C178" s="73"/>
      <c r="D178" s="73"/>
      <c r="E178" s="73"/>
      <c r="F178" s="73"/>
      <c r="G178" s="73"/>
      <c r="H178" s="73"/>
      <c r="I178" s="73"/>
      <c r="J178" s="73"/>
      <c r="K178" s="73"/>
      <c r="L178" s="73"/>
      <c r="M178" s="73"/>
      <c r="N178" s="73"/>
      <c r="O178" s="73"/>
      <c r="P178" s="73"/>
      <c r="Q178" s="73"/>
      <c r="R178" s="73"/>
      <c r="S178" s="73"/>
      <c r="T178" s="73"/>
      <c r="U178" s="74"/>
    </row>
    <row r="179" spans="2:21" s="15" customFormat="1" x14ac:dyDescent="0.25">
      <c r="B179" s="72" t="s">
        <v>3182</v>
      </c>
      <c r="C179" s="73"/>
      <c r="D179" s="73"/>
      <c r="E179" s="73"/>
      <c r="F179" s="73"/>
      <c r="G179" s="73"/>
      <c r="H179" s="73"/>
      <c r="I179" s="73"/>
      <c r="J179" s="73"/>
      <c r="K179" s="73"/>
      <c r="L179" s="73"/>
      <c r="M179" s="73"/>
      <c r="N179" s="73"/>
      <c r="O179" s="73"/>
      <c r="P179" s="73"/>
      <c r="Q179" s="73"/>
      <c r="R179" s="73"/>
      <c r="S179" s="73"/>
      <c r="T179" s="73"/>
      <c r="U179" s="74"/>
    </row>
    <row r="180" spans="2:21" s="15" customFormat="1" x14ac:dyDescent="0.25">
      <c r="B180" s="72" t="s">
        <v>3183</v>
      </c>
      <c r="C180" s="73"/>
      <c r="D180" s="73"/>
      <c r="E180" s="73"/>
      <c r="F180" s="73"/>
      <c r="G180" s="73"/>
      <c r="H180" s="73"/>
      <c r="I180" s="73"/>
      <c r="J180" s="73"/>
      <c r="K180" s="73"/>
      <c r="L180" s="73"/>
      <c r="M180" s="73"/>
      <c r="N180" s="73"/>
      <c r="O180" s="73"/>
      <c r="P180" s="73"/>
      <c r="Q180" s="73"/>
      <c r="R180" s="73"/>
      <c r="S180" s="73"/>
      <c r="T180" s="73"/>
      <c r="U180" s="74"/>
    </row>
    <row r="181" spans="2:21" s="15" customFormat="1" x14ac:dyDescent="0.25">
      <c r="B181" s="72" t="s">
        <v>3168</v>
      </c>
      <c r="C181" s="73"/>
      <c r="D181" s="73"/>
      <c r="E181" s="73"/>
      <c r="F181" s="73"/>
      <c r="G181" s="73"/>
      <c r="H181" s="73"/>
      <c r="I181" s="73"/>
      <c r="J181" s="73"/>
      <c r="K181" s="73"/>
      <c r="L181" s="73"/>
      <c r="M181" s="73"/>
      <c r="N181" s="73"/>
      <c r="O181" s="73"/>
      <c r="P181" s="73"/>
      <c r="Q181" s="73"/>
      <c r="R181" s="73"/>
      <c r="S181" s="73"/>
      <c r="T181" s="73"/>
      <c r="U181" s="74"/>
    </row>
    <row r="182" spans="2:21" s="15" customFormat="1" x14ac:dyDescent="0.25">
      <c r="B182" s="72" t="s">
        <v>3169</v>
      </c>
      <c r="C182" s="73"/>
      <c r="D182" s="73"/>
      <c r="E182" s="73"/>
      <c r="F182" s="73"/>
      <c r="G182" s="73"/>
      <c r="H182" s="73"/>
      <c r="I182" s="73"/>
      <c r="J182" s="73"/>
      <c r="K182" s="73"/>
      <c r="L182" s="73"/>
      <c r="M182" s="73"/>
      <c r="N182" s="73"/>
      <c r="O182" s="73"/>
      <c r="P182" s="73"/>
      <c r="Q182" s="73"/>
      <c r="R182" s="73"/>
      <c r="S182" s="73"/>
      <c r="T182" s="73"/>
      <c r="U182" s="74"/>
    </row>
    <row r="183" spans="2:21" s="15" customFormat="1" x14ac:dyDescent="0.25">
      <c r="B183" s="72" t="s">
        <v>3170</v>
      </c>
      <c r="C183" s="73"/>
      <c r="D183" s="73"/>
      <c r="E183" s="73"/>
      <c r="F183" s="73"/>
      <c r="G183" s="73"/>
      <c r="H183" s="73"/>
      <c r="I183" s="73"/>
      <c r="J183" s="73"/>
      <c r="K183" s="73"/>
      <c r="L183" s="73"/>
      <c r="M183" s="73"/>
      <c r="N183" s="73"/>
      <c r="O183" s="73"/>
      <c r="P183" s="73"/>
      <c r="Q183" s="73"/>
      <c r="R183" s="73"/>
      <c r="S183" s="73"/>
      <c r="T183" s="73"/>
      <c r="U183" s="74"/>
    </row>
    <row r="184" spans="2:21" s="15" customFormat="1" x14ac:dyDescent="0.25">
      <c r="B184" s="72" t="s">
        <v>3171</v>
      </c>
      <c r="C184" s="73"/>
      <c r="D184" s="73"/>
      <c r="E184" s="73"/>
      <c r="F184" s="73"/>
      <c r="G184" s="73"/>
      <c r="H184" s="73"/>
      <c r="I184" s="73"/>
      <c r="J184" s="73"/>
      <c r="K184" s="73"/>
      <c r="L184" s="73"/>
      <c r="M184" s="73"/>
      <c r="N184" s="73"/>
      <c r="O184" s="73"/>
      <c r="P184" s="73"/>
      <c r="Q184" s="73"/>
      <c r="R184" s="73"/>
      <c r="S184" s="73"/>
      <c r="T184" s="73"/>
      <c r="U184" s="74"/>
    </row>
    <row r="185" spans="2:21" s="15" customFormat="1" x14ac:dyDescent="0.25">
      <c r="B185" s="72" t="s">
        <v>3172</v>
      </c>
      <c r="C185" s="73"/>
      <c r="D185" s="73"/>
      <c r="E185" s="73"/>
      <c r="F185" s="73"/>
      <c r="G185" s="73"/>
      <c r="H185" s="73"/>
      <c r="I185" s="73"/>
      <c r="J185" s="73"/>
      <c r="K185" s="73"/>
      <c r="L185" s="73"/>
      <c r="M185" s="73"/>
      <c r="N185" s="73"/>
      <c r="O185" s="73"/>
      <c r="P185" s="73"/>
      <c r="Q185" s="73"/>
      <c r="R185" s="73"/>
      <c r="S185" s="73"/>
      <c r="T185" s="73"/>
      <c r="U185" s="74"/>
    </row>
    <row r="186" spans="2:21" s="15" customFormat="1" x14ac:dyDescent="0.25">
      <c r="B186" s="72" t="s">
        <v>3173</v>
      </c>
      <c r="C186" s="73"/>
      <c r="D186" s="73"/>
      <c r="E186" s="73"/>
      <c r="F186" s="73"/>
      <c r="G186" s="73"/>
      <c r="H186" s="73"/>
      <c r="I186" s="73"/>
      <c r="J186" s="73"/>
      <c r="K186" s="73"/>
      <c r="L186" s="73"/>
      <c r="M186" s="73"/>
      <c r="N186" s="73"/>
      <c r="O186" s="73"/>
      <c r="P186" s="73"/>
      <c r="Q186" s="73"/>
      <c r="R186" s="73"/>
      <c r="S186" s="73"/>
      <c r="T186" s="73"/>
      <c r="U186" s="74"/>
    </row>
    <row r="187" spans="2:21" s="15" customFormat="1" x14ac:dyDescent="0.25">
      <c r="B187" s="72" t="s">
        <v>3174</v>
      </c>
      <c r="C187" s="73"/>
      <c r="D187" s="73"/>
      <c r="E187" s="73"/>
      <c r="F187" s="73"/>
      <c r="G187" s="73"/>
      <c r="H187" s="73"/>
      <c r="I187" s="73"/>
      <c r="J187" s="73"/>
      <c r="K187" s="73"/>
      <c r="L187" s="73"/>
      <c r="M187" s="73"/>
      <c r="N187" s="73"/>
      <c r="O187" s="73"/>
      <c r="P187" s="73"/>
      <c r="Q187" s="73"/>
      <c r="R187" s="73"/>
      <c r="S187" s="73"/>
      <c r="T187" s="73"/>
      <c r="U187" s="74"/>
    </row>
    <row r="188" spans="2:21" s="15" customFormat="1" x14ac:dyDescent="0.25">
      <c r="B188" s="72" t="s">
        <v>3175</v>
      </c>
      <c r="C188" s="73"/>
      <c r="D188" s="73"/>
      <c r="E188" s="73"/>
      <c r="F188" s="73"/>
      <c r="G188" s="73"/>
      <c r="H188" s="73"/>
      <c r="I188" s="73"/>
      <c r="J188" s="73"/>
      <c r="K188" s="73"/>
      <c r="L188" s="73"/>
      <c r="M188" s="73"/>
      <c r="N188" s="73"/>
      <c r="O188" s="73"/>
      <c r="P188" s="73"/>
      <c r="Q188" s="73"/>
      <c r="R188" s="73"/>
      <c r="S188" s="73"/>
      <c r="T188" s="73"/>
      <c r="U188" s="74"/>
    </row>
    <row r="189" spans="2:21" s="15" customFormat="1" x14ac:dyDescent="0.25">
      <c r="B189" s="72" t="s">
        <v>3176</v>
      </c>
      <c r="C189" s="73"/>
      <c r="D189" s="73"/>
      <c r="E189" s="73"/>
      <c r="F189" s="73"/>
      <c r="G189" s="73"/>
      <c r="H189" s="73"/>
      <c r="I189" s="73"/>
      <c r="J189" s="73"/>
      <c r="K189" s="73"/>
      <c r="L189" s="73"/>
      <c r="M189" s="73"/>
      <c r="N189" s="73"/>
      <c r="O189" s="73"/>
      <c r="P189" s="73"/>
      <c r="Q189" s="73"/>
      <c r="R189" s="73"/>
      <c r="S189" s="73"/>
      <c r="T189" s="73"/>
      <c r="U189" s="74"/>
    </row>
    <row r="190" spans="2:21" s="15" customFormat="1" x14ac:dyDescent="0.25">
      <c r="B190" s="72" t="s">
        <v>3177</v>
      </c>
      <c r="C190" s="73"/>
      <c r="D190" s="73"/>
      <c r="E190" s="73"/>
      <c r="F190" s="73"/>
      <c r="G190" s="73"/>
      <c r="H190" s="73"/>
      <c r="I190" s="73"/>
      <c r="J190" s="73"/>
      <c r="K190" s="73"/>
      <c r="L190" s="73"/>
      <c r="M190" s="73"/>
      <c r="N190" s="73"/>
      <c r="O190" s="73"/>
      <c r="P190" s="73"/>
      <c r="Q190" s="73"/>
      <c r="R190" s="73"/>
      <c r="S190" s="73"/>
      <c r="T190" s="73"/>
      <c r="U190" s="74"/>
    </row>
    <row r="191" spans="2:21" s="15" customFormat="1" x14ac:dyDescent="0.25">
      <c r="B191" s="72" t="s">
        <v>3178</v>
      </c>
      <c r="C191" s="73"/>
      <c r="D191" s="73"/>
      <c r="E191" s="73"/>
      <c r="F191" s="73"/>
      <c r="G191" s="73"/>
      <c r="H191" s="73"/>
      <c r="I191" s="73"/>
      <c r="J191" s="73"/>
      <c r="K191" s="73"/>
      <c r="L191" s="73"/>
      <c r="M191" s="73"/>
      <c r="N191" s="73"/>
      <c r="O191" s="73"/>
      <c r="P191" s="73"/>
      <c r="Q191" s="73"/>
      <c r="R191" s="73"/>
      <c r="S191" s="73"/>
      <c r="T191" s="73"/>
      <c r="U191" s="74"/>
    </row>
    <row r="192" spans="2:21" s="15" customFormat="1" x14ac:dyDescent="0.25">
      <c r="B192" s="72" t="s">
        <v>3179</v>
      </c>
      <c r="C192" s="73"/>
      <c r="D192" s="73"/>
      <c r="E192" s="73"/>
      <c r="F192" s="73"/>
      <c r="G192" s="73"/>
      <c r="H192" s="73"/>
      <c r="I192" s="73"/>
      <c r="J192" s="73"/>
      <c r="K192" s="73"/>
      <c r="L192" s="73"/>
      <c r="M192" s="73"/>
      <c r="N192" s="73"/>
      <c r="O192" s="73"/>
      <c r="P192" s="73"/>
      <c r="Q192" s="73"/>
      <c r="R192" s="73"/>
      <c r="S192" s="73"/>
      <c r="T192" s="73"/>
      <c r="U192" s="74"/>
    </row>
    <row r="193" spans="2:21" s="15" customFormat="1" x14ac:dyDescent="0.25">
      <c r="B193" s="72" t="s">
        <v>3180</v>
      </c>
      <c r="C193" s="73"/>
      <c r="D193" s="73"/>
      <c r="E193" s="73"/>
      <c r="F193" s="73"/>
      <c r="G193" s="73"/>
      <c r="H193" s="73"/>
      <c r="I193" s="73"/>
      <c r="J193" s="73"/>
      <c r="K193" s="73"/>
      <c r="L193" s="73"/>
      <c r="M193" s="73"/>
      <c r="N193" s="73"/>
      <c r="O193" s="73"/>
      <c r="P193" s="73"/>
      <c r="Q193" s="73"/>
      <c r="R193" s="73"/>
      <c r="S193" s="73"/>
      <c r="T193" s="73"/>
      <c r="U193" s="74"/>
    </row>
    <row r="194" spans="2:21" s="15" customFormat="1" x14ac:dyDescent="0.25">
      <c r="B194" s="72" t="s">
        <v>3083</v>
      </c>
      <c r="C194" s="73"/>
      <c r="D194" s="73"/>
      <c r="E194" s="73"/>
      <c r="F194" s="73"/>
      <c r="G194" s="73"/>
      <c r="H194" s="73"/>
      <c r="I194" s="73"/>
      <c r="J194" s="73"/>
      <c r="K194" s="73"/>
      <c r="L194" s="73"/>
      <c r="M194" s="73"/>
      <c r="N194" s="73"/>
      <c r="O194" s="73"/>
      <c r="P194" s="73"/>
      <c r="Q194" s="73"/>
      <c r="R194" s="73"/>
      <c r="S194" s="73"/>
      <c r="T194" s="73"/>
      <c r="U194" s="74"/>
    </row>
    <row r="195" spans="2:21" s="15" customFormat="1" x14ac:dyDescent="0.25">
      <c r="B195" s="72" t="s">
        <v>3093</v>
      </c>
      <c r="C195" s="73"/>
      <c r="D195" s="73"/>
      <c r="E195" s="73"/>
      <c r="F195" s="73"/>
      <c r="G195" s="73"/>
      <c r="H195" s="73"/>
      <c r="I195" s="73"/>
      <c r="J195" s="73"/>
      <c r="K195" s="73"/>
      <c r="L195" s="73"/>
      <c r="M195" s="73"/>
      <c r="N195" s="73"/>
      <c r="O195" s="73"/>
      <c r="P195" s="73"/>
      <c r="Q195" s="73"/>
      <c r="R195" s="73"/>
      <c r="S195" s="73"/>
      <c r="T195" s="73"/>
      <c r="U195" s="74"/>
    </row>
    <row r="196" spans="2:21" s="15" customFormat="1" x14ac:dyDescent="0.25">
      <c r="B196" s="72" t="s">
        <v>3184</v>
      </c>
      <c r="C196" s="73"/>
      <c r="D196" s="73"/>
      <c r="E196" s="73"/>
      <c r="F196" s="73"/>
      <c r="G196" s="73"/>
      <c r="H196" s="73"/>
      <c r="I196" s="73"/>
      <c r="J196" s="73"/>
      <c r="K196" s="73"/>
      <c r="L196" s="73"/>
      <c r="M196" s="73"/>
      <c r="N196" s="73"/>
      <c r="O196" s="73"/>
      <c r="P196" s="73"/>
      <c r="Q196" s="73"/>
      <c r="R196" s="73"/>
      <c r="S196" s="73"/>
      <c r="T196" s="73"/>
      <c r="U196" s="74"/>
    </row>
    <row r="197" spans="2:21" s="15" customFormat="1" x14ac:dyDescent="0.25">
      <c r="B197" s="72" t="s">
        <v>3085</v>
      </c>
      <c r="C197" s="73"/>
      <c r="D197" s="73"/>
      <c r="E197" s="73"/>
      <c r="F197" s="73"/>
      <c r="G197" s="73"/>
      <c r="H197" s="73"/>
      <c r="I197" s="73"/>
      <c r="J197" s="73"/>
      <c r="K197" s="73"/>
      <c r="L197" s="73"/>
      <c r="M197" s="73"/>
      <c r="N197" s="73"/>
      <c r="O197" s="73"/>
      <c r="P197" s="73"/>
      <c r="Q197" s="73"/>
      <c r="R197" s="73"/>
      <c r="S197" s="73"/>
      <c r="T197" s="73"/>
      <c r="U197" s="74"/>
    </row>
    <row r="198" spans="2:21" s="15" customFormat="1" x14ac:dyDescent="0.25">
      <c r="B198" s="72" t="s">
        <v>3166</v>
      </c>
      <c r="C198" s="73"/>
      <c r="D198" s="73"/>
      <c r="E198" s="73"/>
      <c r="F198" s="73"/>
      <c r="G198" s="73"/>
      <c r="H198" s="73"/>
      <c r="I198" s="73"/>
      <c r="J198" s="73"/>
      <c r="K198" s="73"/>
      <c r="L198" s="73"/>
      <c r="M198" s="73"/>
      <c r="N198" s="73"/>
      <c r="O198" s="73"/>
      <c r="P198" s="73"/>
      <c r="Q198" s="73"/>
      <c r="R198" s="73"/>
      <c r="S198" s="73"/>
      <c r="T198" s="73"/>
      <c r="U198" s="74"/>
    </row>
    <row r="199" spans="2:21" s="15" customFormat="1" x14ac:dyDescent="0.25">
      <c r="B199" s="72" t="s">
        <v>3185</v>
      </c>
      <c r="C199" s="73"/>
      <c r="D199" s="73"/>
      <c r="E199" s="73"/>
      <c r="F199" s="73"/>
      <c r="G199" s="73"/>
      <c r="H199" s="73"/>
      <c r="I199" s="73"/>
      <c r="J199" s="73"/>
      <c r="K199" s="73"/>
      <c r="L199" s="73"/>
      <c r="M199" s="73"/>
      <c r="N199" s="73"/>
      <c r="O199" s="73"/>
      <c r="P199" s="73"/>
      <c r="Q199" s="73"/>
      <c r="R199" s="73"/>
      <c r="S199" s="73"/>
      <c r="T199" s="73"/>
      <c r="U199" s="74"/>
    </row>
    <row r="200" spans="2:21" s="15" customFormat="1" x14ac:dyDescent="0.25">
      <c r="B200" s="72" t="s">
        <v>3186</v>
      </c>
      <c r="C200" s="73"/>
      <c r="D200" s="73"/>
      <c r="E200" s="73"/>
      <c r="F200" s="73"/>
      <c r="G200" s="73"/>
      <c r="H200" s="73"/>
      <c r="I200" s="73"/>
      <c r="J200" s="73"/>
      <c r="K200" s="73"/>
      <c r="L200" s="73"/>
      <c r="M200" s="73"/>
      <c r="N200" s="73"/>
      <c r="O200" s="73"/>
      <c r="P200" s="73"/>
      <c r="Q200" s="73"/>
      <c r="R200" s="73"/>
      <c r="S200" s="73"/>
      <c r="T200" s="73"/>
      <c r="U200" s="74"/>
    </row>
    <row r="201" spans="2:21" s="15" customFormat="1" x14ac:dyDescent="0.25">
      <c r="B201" s="72" t="s">
        <v>3187</v>
      </c>
      <c r="C201" s="73"/>
      <c r="D201" s="73"/>
      <c r="E201" s="73"/>
      <c r="F201" s="73"/>
      <c r="G201" s="73"/>
      <c r="H201" s="73"/>
      <c r="I201" s="73"/>
      <c r="J201" s="73"/>
      <c r="K201" s="73"/>
      <c r="L201" s="73"/>
      <c r="M201" s="73"/>
      <c r="N201" s="73"/>
      <c r="O201" s="73"/>
      <c r="P201" s="73"/>
      <c r="Q201" s="73"/>
      <c r="R201" s="73"/>
      <c r="S201" s="73"/>
      <c r="T201" s="73"/>
      <c r="U201" s="74"/>
    </row>
    <row r="202" spans="2:21" s="15" customFormat="1" x14ac:dyDescent="0.25">
      <c r="B202" s="72" t="s">
        <v>3188</v>
      </c>
      <c r="C202" s="73"/>
      <c r="D202" s="73"/>
      <c r="E202" s="73"/>
      <c r="F202" s="73"/>
      <c r="G202" s="73"/>
      <c r="H202" s="73"/>
      <c r="I202" s="73"/>
      <c r="J202" s="73"/>
      <c r="K202" s="73"/>
      <c r="L202" s="73"/>
      <c r="M202" s="73"/>
      <c r="N202" s="73"/>
      <c r="O202" s="73"/>
      <c r="P202" s="73"/>
      <c r="Q202" s="73"/>
      <c r="R202" s="73"/>
      <c r="S202" s="73"/>
      <c r="T202" s="73"/>
      <c r="U202" s="74"/>
    </row>
    <row r="203" spans="2:21" s="15" customFormat="1" x14ac:dyDescent="0.25">
      <c r="B203" s="72" t="s">
        <v>3189</v>
      </c>
      <c r="C203" s="73"/>
      <c r="D203" s="73"/>
      <c r="E203" s="73"/>
      <c r="F203" s="73"/>
      <c r="G203" s="73"/>
      <c r="H203" s="73"/>
      <c r="I203" s="73"/>
      <c r="J203" s="73"/>
      <c r="K203" s="73"/>
      <c r="L203" s="73"/>
      <c r="M203" s="73"/>
      <c r="N203" s="73"/>
      <c r="O203" s="73"/>
      <c r="P203" s="73"/>
      <c r="Q203" s="73"/>
      <c r="R203" s="73"/>
      <c r="S203" s="73"/>
      <c r="T203" s="73"/>
      <c r="U203" s="74"/>
    </row>
    <row r="204" spans="2:21" s="15" customFormat="1" x14ac:dyDescent="0.25">
      <c r="B204" s="72" t="s">
        <v>3190</v>
      </c>
      <c r="C204" s="73"/>
      <c r="D204" s="73"/>
      <c r="E204" s="73"/>
      <c r="F204" s="73"/>
      <c r="G204" s="73"/>
      <c r="H204" s="73"/>
      <c r="I204" s="73"/>
      <c r="J204" s="73"/>
      <c r="K204" s="73"/>
      <c r="L204" s="73"/>
      <c r="M204" s="73"/>
      <c r="N204" s="73"/>
      <c r="O204" s="73"/>
      <c r="P204" s="73"/>
      <c r="Q204" s="73"/>
      <c r="R204" s="73"/>
      <c r="S204" s="73"/>
      <c r="T204" s="73"/>
      <c r="U204" s="74"/>
    </row>
    <row r="205" spans="2:21" s="15" customFormat="1" x14ac:dyDescent="0.25">
      <c r="B205" s="72" t="s">
        <v>3191</v>
      </c>
      <c r="C205" s="73"/>
      <c r="D205" s="73"/>
      <c r="E205" s="73"/>
      <c r="F205" s="73"/>
      <c r="G205" s="73"/>
      <c r="H205" s="73"/>
      <c r="I205" s="73"/>
      <c r="J205" s="73"/>
      <c r="K205" s="73"/>
      <c r="L205" s="73"/>
      <c r="M205" s="73"/>
      <c r="N205" s="73"/>
      <c r="O205" s="73"/>
      <c r="P205" s="73"/>
      <c r="Q205" s="73"/>
      <c r="R205" s="73"/>
      <c r="S205" s="73"/>
      <c r="T205" s="73"/>
      <c r="U205" s="74"/>
    </row>
    <row r="206" spans="2:21" s="15" customFormat="1" x14ac:dyDescent="0.25">
      <c r="B206" s="72" t="s">
        <v>3192</v>
      </c>
      <c r="C206" s="73"/>
      <c r="D206" s="73"/>
      <c r="E206" s="73"/>
      <c r="F206" s="73"/>
      <c r="G206" s="73"/>
      <c r="H206" s="73"/>
      <c r="I206" s="73"/>
      <c r="J206" s="73"/>
      <c r="K206" s="73"/>
      <c r="L206" s="73"/>
      <c r="M206" s="73"/>
      <c r="N206" s="73"/>
      <c r="O206" s="73"/>
      <c r="P206" s="73"/>
      <c r="Q206" s="73"/>
      <c r="R206" s="73"/>
      <c r="S206" s="73"/>
      <c r="T206" s="73"/>
      <c r="U206" s="74"/>
    </row>
    <row r="207" spans="2:21" s="15" customFormat="1" x14ac:dyDescent="0.25">
      <c r="B207" s="72" t="s">
        <v>3193</v>
      </c>
      <c r="C207" s="73"/>
      <c r="D207" s="73"/>
      <c r="E207" s="73"/>
      <c r="F207" s="73"/>
      <c r="G207" s="73"/>
      <c r="H207" s="73"/>
      <c r="I207" s="73"/>
      <c r="J207" s="73"/>
      <c r="K207" s="73"/>
      <c r="L207" s="73"/>
      <c r="M207" s="73"/>
      <c r="N207" s="73"/>
      <c r="O207" s="73"/>
      <c r="P207" s="73"/>
      <c r="Q207" s="73"/>
      <c r="R207" s="73"/>
      <c r="S207" s="73"/>
      <c r="T207" s="73"/>
      <c r="U207" s="74"/>
    </row>
    <row r="208" spans="2:21" s="15" customFormat="1" x14ac:dyDescent="0.25">
      <c r="B208" s="72" t="s">
        <v>3181</v>
      </c>
      <c r="C208" s="73"/>
      <c r="D208" s="73"/>
      <c r="E208" s="73"/>
      <c r="F208" s="73"/>
      <c r="G208" s="73"/>
      <c r="H208" s="73"/>
      <c r="I208" s="73"/>
      <c r="J208" s="73"/>
      <c r="K208" s="73"/>
      <c r="L208" s="73"/>
      <c r="M208" s="73"/>
      <c r="N208" s="73"/>
      <c r="O208" s="73"/>
      <c r="P208" s="73"/>
      <c r="Q208" s="73"/>
      <c r="R208" s="73"/>
      <c r="S208" s="73"/>
      <c r="T208" s="73"/>
      <c r="U208" s="74"/>
    </row>
    <row r="209" spans="2:21" s="15" customFormat="1" x14ac:dyDescent="0.25">
      <c r="B209" s="72" t="s">
        <v>3085</v>
      </c>
      <c r="C209" s="73"/>
      <c r="D209" s="73"/>
      <c r="E209" s="73"/>
      <c r="F209" s="73"/>
      <c r="G209" s="73"/>
      <c r="H209" s="73"/>
      <c r="I209" s="73"/>
      <c r="J209" s="73"/>
      <c r="K209" s="73"/>
      <c r="L209" s="73"/>
      <c r="M209" s="73"/>
      <c r="N209" s="73"/>
      <c r="O209" s="73"/>
      <c r="P209" s="73"/>
      <c r="Q209" s="73"/>
      <c r="R209" s="73"/>
      <c r="S209" s="73"/>
      <c r="T209" s="73"/>
      <c r="U209" s="74"/>
    </row>
    <row r="210" spans="2:21" s="15" customFormat="1" x14ac:dyDescent="0.25">
      <c r="B210" s="72" t="s">
        <v>3182</v>
      </c>
      <c r="C210" s="73"/>
      <c r="D210" s="73"/>
      <c r="E210" s="73"/>
      <c r="F210" s="73"/>
      <c r="G210" s="73"/>
      <c r="H210" s="73"/>
      <c r="I210" s="73"/>
      <c r="J210" s="73"/>
      <c r="K210" s="73"/>
      <c r="L210" s="73"/>
      <c r="M210" s="73"/>
      <c r="N210" s="73"/>
      <c r="O210" s="73"/>
      <c r="P210" s="73"/>
      <c r="Q210" s="73"/>
      <c r="R210" s="73"/>
      <c r="S210" s="73"/>
      <c r="T210" s="73"/>
      <c r="U210" s="74"/>
    </row>
    <row r="211" spans="2:21" s="15" customFormat="1" x14ac:dyDescent="0.25">
      <c r="B211" s="72" t="s">
        <v>3185</v>
      </c>
      <c r="C211" s="73"/>
      <c r="D211" s="73"/>
      <c r="E211" s="73"/>
      <c r="F211" s="73"/>
      <c r="G211" s="73"/>
      <c r="H211" s="73"/>
      <c r="I211" s="73"/>
      <c r="J211" s="73"/>
      <c r="K211" s="73"/>
      <c r="L211" s="73"/>
      <c r="M211" s="73"/>
      <c r="N211" s="73"/>
      <c r="O211" s="73"/>
      <c r="P211" s="73"/>
      <c r="Q211" s="73"/>
      <c r="R211" s="73"/>
      <c r="S211" s="73"/>
      <c r="T211" s="73"/>
      <c r="U211" s="74"/>
    </row>
    <row r="212" spans="2:21" s="15" customFormat="1" x14ac:dyDescent="0.25">
      <c r="B212" s="72" t="s">
        <v>3194</v>
      </c>
      <c r="C212" s="73"/>
      <c r="D212" s="73"/>
      <c r="E212" s="73"/>
      <c r="F212" s="73"/>
      <c r="G212" s="73"/>
      <c r="H212" s="73"/>
      <c r="I212" s="73"/>
      <c r="J212" s="73"/>
      <c r="K212" s="73"/>
      <c r="L212" s="73"/>
      <c r="M212" s="73"/>
      <c r="N212" s="73"/>
      <c r="O212" s="73"/>
      <c r="P212" s="73"/>
      <c r="Q212" s="73"/>
      <c r="R212" s="73"/>
      <c r="S212" s="73"/>
      <c r="T212" s="73"/>
      <c r="U212" s="74"/>
    </row>
    <row r="213" spans="2:21" s="15" customFormat="1" x14ac:dyDescent="0.25">
      <c r="B213" s="72" t="s">
        <v>3187</v>
      </c>
      <c r="C213" s="73"/>
      <c r="D213" s="73"/>
      <c r="E213" s="73"/>
      <c r="F213" s="73"/>
      <c r="G213" s="73"/>
      <c r="H213" s="73"/>
      <c r="I213" s="73"/>
      <c r="J213" s="73"/>
      <c r="K213" s="73"/>
      <c r="L213" s="73"/>
      <c r="M213" s="73"/>
      <c r="N213" s="73"/>
      <c r="O213" s="73"/>
      <c r="P213" s="73"/>
      <c r="Q213" s="73"/>
      <c r="R213" s="73"/>
      <c r="S213" s="73"/>
      <c r="T213" s="73"/>
      <c r="U213" s="74"/>
    </row>
    <row r="214" spans="2:21" s="15" customFormat="1" x14ac:dyDescent="0.25">
      <c r="B214" s="72" t="s">
        <v>3188</v>
      </c>
      <c r="C214" s="73"/>
      <c r="D214" s="73"/>
      <c r="E214" s="73"/>
      <c r="F214" s="73"/>
      <c r="G214" s="73"/>
      <c r="H214" s="73"/>
      <c r="I214" s="73"/>
      <c r="J214" s="73"/>
      <c r="K214" s="73"/>
      <c r="L214" s="73"/>
      <c r="M214" s="73"/>
      <c r="N214" s="73"/>
      <c r="O214" s="73"/>
      <c r="P214" s="73"/>
      <c r="Q214" s="73"/>
      <c r="R214" s="73"/>
      <c r="S214" s="73"/>
      <c r="T214" s="73"/>
      <c r="U214" s="74"/>
    </row>
    <row r="215" spans="2:21" s="15" customFormat="1" x14ac:dyDescent="0.25">
      <c r="B215" s="72" t="s">
        <v>3189</v>
      </c>
      <c r="C215" s="73"/>
      <c r="D215" s="73"/>
      <c r="E215" s="73"/>
      <c r="F215" s="73"/>
      <c r="G215" s="73"/>
      <c r="H215" s="73"/>
      <c r="I215" s="73"/>
      <c r="J215" s="73"/>
      <c r="K215" s="73"/>
      <c r="L215" s="73"/>
      <c r="M215" s="73"/>
      <c r="N215" s="73"/>
      <c r="O215" s="73"/>
      <c r="P215" s="73"/>
      <c r="Q215" s="73"/>
      <c r="R215" s="73"/>
      <c r="S215" s="73"/>
      <c r="T215" s="73"/>
      <c r="U215" s="74"/>
    </row>
    <row r="216" spans="2:21" s="15" customFormat="1" x14ac:dyDescent="0.25">
      <c r="B216" s="72" t="s">
        <v>3190</v>
      </c>
      <c r="C216" s="73"/>
      <c r="D216" s="73"/>
      <c r="E216" s="73"/>
      <c r="F216" s="73"/>
      <c r="G216" s="73"/>
      <c r="H216" s="73"/>
      <c r="I216" s="73"/>
      <c r="J216" s="73"/>
      <c r="K216" s="73"/>
      <c r="L216" s="73"/>
      <c r="M216" s="73"/>
      <c r="N216" s="73"/>
      <c r="O216" s="73"/>
      <c r="P216" s="73"/>
      <c r="Q216" s="73"/>
      <c r="R216" s="73"/>
      <c r="S216" s="73"/>
      <c r="T216" s="73"/>
      <c r="U216" s="74"/>
    </row>
    <row r="217" spans="2:21" s="15" customFormat="1" x14ac:dyDescent="0.25">
      <c r="B217" s="72" t="s">
        <v>3191</v>
      </c>
      <c r="C217" s="73"/>
      <c r="D217" s="73"/>
      <c r="E217" s="73"/>
      <c r="F217" s="73"/>
      <c r="G217" s="73"/>
      <c r="H217" s="73"/>
      <c r="I217" s="73"/>
      <c r="J217" s="73"/>
      <c r="K217" s="73"/>
      <c r="L217" s="73"/>
      <c r="M217" s="73"/>
      <c r="N217" s="73"/>
      <c r="O217" s="73"/>
      <c r="P217" s="73"/>
      <c r="Q217" s="73"/>
      <c r="R217" s="73"/>
      <c r="S217" s="73"/>
      <c r="T217" s="73"/>
      <c r="U217" s="74"/>
    </row>
    <row r="218" spans="2:21" s="15" customFormat="1" x14ac:dyDescent="0.25">
      <c r="B218" s="72" t="s">
        <v>3192</v>
      </c>
      <c r="C218" s="73"/>
      <c r="D218" s="73"/>
      <c r="E218" s="73"/>
      <c r="F218" s="73"/>
      <c r="G218" s="73"/>
      <c r="H218" s="73"/>
      <c r="I218" s="73"/>
      <c r="J218" s="73"/>
      <c r="K218" s="73"/>
      <c r="L218" s="73"/>
      <c r="M218" s="73"/>
      <c r="N218" s="73"/>
      <c r="O218" s="73"/>
      <c r="P218" s="73"/>
      <c r="Q218" s="73"/>
      <c r="R218" s="73"/>
      <c r="S218" s="73"/>
      <c r="T218" s="73"/>
      <c r="U218" s="74"/>
    </row>
    <row r="219" spans="2:21" s="15" customFormat="1" x14ac:dyDescent="0.25">
      <c r="B219" s="72" t="s">
        <v>3193</v>
      </c>
      <c r="C219" s="73"/>
      <c r="D219" s="73"/>
      <c r="E219" s="73"/>
      <c r="F219" s="73"/>
      <c r="G219" s="73"/>
      <c r="H219" s="73"/>
      <c r="I219" s="73"/>
      <c r="J219" s="73"/>
      <c r="K219" s="73"/>
      <c r="L219" s="73"/>
      <c r="M219" s="73"/>
      <c r="N219" s="73"/>
      <c r="O219" s="73"/>
      <c r="P219" s="73"/>
      <c r="Q219" s="73"/>
      <c r="R219" s="73"/>
      <c r="S219" s="73"/>
      <c r="T219" s="73"/>
      <c r="U219" s="74"/>
    </row>
    <row r="220" spans="2:21" s="15" customFormat="1" x14ac:dyDescent="0.25">
      <c r="B220" s="72" t="s">
        <v>3083</v>
      </c>
      <c r="C220" s="73"/>
      <c r="D220" s="73"/>
      <c r="E220" s="73"/>
      <c r="F220" s="73"/>
      <c r="G220" s="73"/>
      <c r="H220" s="73"/>
      <c r="I220" s="73"/>
      <c r="J220" s="73"/>
      <c r="K220" s="73"/>
      <c r="L220" s="73"/>
      <c r="M220" s="73"/>
      <c r="N220" s="73"/>
      <c r="O220" s="73"/>
      <c r="P220" s="73"/>
      <c r="Q220" s="73"/>
      <c r="R220" s="73"/>
      <c r="S220" s="73"/>
      <c r="T220" s="73"/>
      <c r="U220" s="74"/>
    </row>
    <row r="221" spans="2:21" s="15" customFormat="1" x14ac:dyDescent="0.25">
      <c r="B221" s="72" t="s">
        <v>3093</v>
      </c>
      <c r="C221" s="73"/>
      <c r="D221" s="73"/>
      <c r="E221" s="73"/>
      <c r="F221" s="73"/>
      <c r="G221" s="73"/>
      <c r="H221" s="73"/>
      <c r="I221" s="73"/>
      <c r="J221" s="73"/>
      <c r="K221" s="73"/>
      <c r="L221" s="73"/>
      <c r="M221" s="73"/>
      <c r="N221" s="73"/>
      <c r="O221" s="73"/>
      <c r="P221" s="73"/>
      <c r="Q221" s="73"/>
      <c r="R221" s="73"/>
      <c r="S221" s="73"/>
      <c r="T221" s="73"/>
      <c r="U221" s="74"/>
    </row>
    <row r="222" spans="2:21" s="15" customFormat="1" x14ac:dyDescent="0.25">
      <c r="B222" s="72" t="s">
        <v>3195</v>
      </c>
      <c r="C222" s="73"/>
      <c r="D222" s="73"/>
      <c r="E222" s="73"/>
      <c r="F222" s="73"/>
      <c r="G222" s="73"/>
      <c r="H222" s="73"/>
      <c r="I222" s="73"/>
      <c r="J222" s="73"/>
      <c r="K222" s="73"/>
      <c r="L222" s="73"/>
      <c r="M222" s="73"/>
      <c r="N222" s="73"/>
      <c r="O222" s="73"/>
      <c r="P222" s="73"/>
      <c r="Q222" s="73"/>
      <c r="R222" s="73"/>
      <c r="S222" s="73"/>
      <c r="T222" s="73"/>
      <c r="U222" s="74"/>
    </row>
    <row r="223" spans="2:21" s="15" customFormat="1" x14ac:dyDescent="0.25">
      <c r="B223" s="72" t="s">
        <v>3085</v>
      </c>
      <c r="C223" s="73"/>
      <c r="D223" s="73"/>
      <c r="E223" s="73"/>
      <c r="F223" s="73"/>
      <c r="G223" s="73"/>
      <c r="H223" s="73"/>
      <c r="I223" s="73"/>
      <c r="J223" s="73"/>
      <c r="K223" s="73"/>
      <c r="L223" s="73"/>
      <c r="M223" s="73"/>
      <c r="N223" s="73"/>
      <c r="O223" s="73"/>
      <c r="P223" s="73"/>
      <c r="Q223" s="73"/>
      <c r="R223" s="73"/>
      <c r="S223" s="73"/>
      <c r="T223" s="73"/>
      <c r="U223" s="74"/>
    </row>
    <row r="224" spans="2:21" s="15" customFormat="1" x14ac:dyDescent="0.25">
      <c r="B224" s="72" t="s">
        <v>3196</v>
      </c>
      <c r="C224" s="73"/>
      <c r="D224" s="73"/>
      <c r="E224" s="73"/>
      <c r="F224" s="73"/>
      <c r="G224" s="73"/>
      <c r="H224" s="73"/>
      <c r="I224" s="73"/>
      <c r="J224" s="73"/>
      <c r="K224" s="73"/>
      <c r="L224" s="73"/>
      <c r="M224" s="73"/>
      <c r="N224" s="73"/>
      <c r="O224" s="73"/>
      <c r="P224" s="73"/>
      <c r="Q224" s="73"/>
      <c r="R224" s="73"/>
      <c r="S224" s="73"/>
      <c r="T224" s="73"/>
      <c r="U224" s="74"/>
    </row>
    <row r="225" spans="2:21" s="15" customFormat="1" x14ac:dyDescent="0.25">
      <c r="B225" s="72" t="s">
        <v>3197</v>
      </c>
      <c r="C225" s="73"/>
      <c r="D225" s="73"/>
      <c r="E225" s="73"/>
      <c r="F225" s="73"/>
      <c r="G225" s="73"/>
      <c r="H225" s="73"/>
      <c r="I225" s="73"/>
      <c r="J225" s="73"/>
      <c r="K225" s="73"/>
      <c r="L225" s="73"/>
      <c r="M225" s="73"/>
      <c r="N225" s="73"/>
      <c r="O225" s="73"/>
      <c r="P225" s="73"/>
      <c r="Q225" s="73"/>
      <c r="R225" s="73"/>
      <c r="S225" s="73"/>
      <c r="T225" s="73"/>
      <c r="U225" s="74"/>
    </row>
    <row r="226" spans="2:21" s="15" customFormat="1" x14ac:dyDescent="0.25">
      <c r="B226" s="72" t="s">
        <v>3198</v>
      </c>
      <c r="C226" s="73"/>
      <c r="D226" s="73"/>
      <c r="E226" s="73"/>
      <c r="F226" s="73"/>
      <c r="G226" s="73"/>
      <c r="H226" s="73"/>
      <c r="I226" s="73"/>
      <c r="J226" s="73"/>
      <c r="K226" s="73"/>
      <c r="L226" s="73"/>
      <c r="M226" s="73"/>
      <c r="N226" s="73"/>
      <c r="O226" s="73"/>
      <c r="P226" s="73"/>
      <c r="Q226" s="73"/>
      <c r="R226" s="73"/>
      <c r="S226" s="73"/>
      <c r="T226" s="73"/>
      <c r="U226" s="74"/>
    </row>
    <row r="227" spans="2:21" s="15" customFormat="1" x14ac:dyDescent="0.25">
      <c r="B227" s="72" t="s">
        <v>3083</v>
      </c>
      <c r="C227" s="73"/>
      <c r="D227" s="73"/>
      <c r="E227" s="73"/>
      <c r="F227" s="73"/>
      <c r="G227" s="73"/>
      <c r="H227" s="73"/>
      <c r="I227" s="73"/>
      <c r="J227" s="73"/>
      <c r="K227" s="73"/>
      <c r="L227" s="73"/>
      <c r="M227" s="73"/>
      <c r="N227" s="73"/>
      <c r="O227" s="73"/>
      <c r="P227" s="73"/>
      <c r="Q227" s="73"/>
      <c r="R227" s="73"/>
      <c r="S227" s="73"/>
      <c r="T227" s="73"/>
      <c r="U227" s="74"/>
    </row>
    <row r="228" spans="2:21" s="15" customFormat="1" x14ac:dyDescent="0.25">
      <c r="B228" s="72" t="s">
        <v>3093</v>
      </c>
      <c r="C228" s="73"/>
      <c r="D228" s="73"/>
      <c r="E228" s="73"/>
      <c r="F228" s="73"/>
      <c r="G228" s="73"/>
      <c r="H228" s="73"/>
      <c r="I228" s="73"/>
      <c r="J228" s="73"/>
      <c r="K228" s="73"/>
      <c r="L228" s="73"/>
      <c r="M228" s="73"/>
      <c r="N228" s="73"/>
      <c r="O228" s="73"/>
      <c r="P228" s="73"/>
      <c r="Q228" s="73"/>
      <c r="R228" s="73"/>
      <c r="S228" s="73"/>
      <c r="T228" s="73"/>
      <c r="U228" s="74"/>
    </row>
    <row r="229" spans="2:21" s="15" customFormat="1" x14ac:dyDescent="0.25">
      <c r="B229" s="72" t="s">
        <v>3199</v>
      </c>
      <c r="C229" s="73"/>
      <c r="D229" s="73"/>
      <c r="E229" s="73"/>
      <c r="F229" s="73"/>
      <c r="G229" s="73"/>
      <c r="H229" s="73"/>
      <c r="I229" s="73"/>
      <c r="J229" s="73"/>
      <c r="K229" s="73"/>
      <c r="L229" s="73"/>
      <c r="M229" s="73"/>
      <c r="N229" s="73"/>
      <c r="O229" s="73"/>
      <c r="P229" s="73"/>
      <c r="Q229" s="73"/>
      <c r="R229" s="73"/>
      <c r="S229" s="73"/>
      <c r="T229" s="73"/>
      <c r="U229" s="74"/>
    </row>
    <row r="230" spans="2:21" s="15" customFormat="1" x14ac:dyDescent="0.25">
      <c r="B230" s="72" t="s">
        <v>3085</v>
      </c>
      <c r="C230" s="73"/>
      <c r="D230" s="73"/>
      <c r="E230" s="73"/>
      <c r="F230" s="73"/>
      <c r="G230" s="73"/>
      <c r="H230" s="73"/>
      <c r="I230" s="73"/>
      <c r="J230" s="73"/>
      <c r="K230" s="73"/>
      <c r="L230" s="73"/>
      <c r="M230" s="73"/>
      <c r="N230" s="73"/>
      <c r="O230" s="73"/>
      <c r="P230" s="73"/>
      <c r="Q230" s="73"/>
      <c r="R230" s="73"/>
      <c r="S230" s="73"/>
      <c r="T230" s="73"/>
      <c r="U230" s="74"/>
    </row>
    <row r="231" spans="2:21" s="15" customFormat="1" x14ac:dyDescent="0.25">
      <c r="B231" s="72" t="s">
        <v>3200</v>
      </c>
      <c r="C231" s="73"/>
      <c r="D231" s="73"/>
      <c r="E231" s="73"/>
      <c r="F231" s="73"/>
      <c r="G231" s="73"/>
      <c r="H231" s="73"/>
      <c r="I231" s="73"/>
      <c r="J231" s="73"/>
      <c r="K231" s="73"/>
      <c r="L231" s="73"/>
      <c r="M231" s="73"/>
      <c r="N231" s="73"/>
      <c r="O231" s="73"/>
      <c r="P231" s="73"/>
      <c r="Q231" s="73"/>
      <c r="R231" s="73"/>
      <c r="S231" s="73"/>
      <c r="T231" s="73"/>
      <c r="U231" s="74"/>
    </row>
    <row r="232" spans="2:21" s="15" customFormat="1" x14ac:dyDescent="0.25">
      <c r="B232" s="72" t="s">
        <v>3201</v>
      </c>
      <c r="C232" s="73"/>
      <c r="D232" s="73"/>
      <c r="E232" s="73"/>
      <c r="F232" s="73"/>
      <c r="G232" s="73"/>
      <c r="H232" s="73"/>
      <c r="I232" s="73"/>
      <c r="J232" s="73"/>
      <c r="K232" s="73"/>
      <c r="L232" s="73"/>
      <c r="M232" s="73"/>
      <c r="N232" s="73"/>
      <c r="O232" s="73"/>
      <c r="P232" s="73"/>
      <c r="Q232" s="73"/>
      <c r="R232" s="73"/>
      <c r="S232" s="73"/>
      <c r="T232" s="73"/>
      <c r="U232" s="74"/>
    </row>
    <row r="233" spans="2:21" s="15" customFormat="1" x14ac:dyDescent="0.25">
      <c r="B233" s="72" t="s">
        <v>3083</v>
      </c>
      <c r="C233" s="73"/>
      <c r="D233" s="73"/>
      <c r="E233" s="73"/>
      <c r="F233" s="73"/>
      <c r="G233" s="73"/>
      <c r="H233" s="73"/>
      <c r="I233" s="73"/>
      <c r="J233" s="73"/>
      <c r="K233" s="73"/>
      <c r="L233" s="73"/>
      <c r="M233" s="73"/>
      <c r="N233" s="73"/>
      <c r="O233" s="73"/>
      <c r="P233" s="73"/>
      <c r="Q233" s="73"/>
      <c r="R233" s="73"/>
      <c r="S233" s="73"/>
      <c r="T233" s="73"/>
      <c r="U233" s="74"/>
    </row>
    <row r="234" spans="2:21" s="15" customFormat="1" x14ac:dyDescent="0.25">
      <c r="B234" s="72" t="s">
        <v>3093</v>
      </c>
      <c r="C234" s="73"/>
      <c r="D234" s="73"/>
      <c r="E234" s="73"/>
      <c r="F234" s="73"/>
      <c r="G234" s="73"/>
      <c r="H234" s="73"/>
      <c r="I234" s="73"/>
      <c r="J234" s="73"/>
      <c r="K234" s="73"/>
      <c r="L234" s="73"/>
      <c r="M234" s="73"/>
      <c r="N234" s="73"/>
      <c r="O234" s="73"/>
      <c r="P234" s="73"/>
      <c r="Q234" s="73"/>
      <c r="R234" s="73"/>
      <c r="S234" s="73"/>
      <c r="T234" s="73"/>
      <c r="U234" s="74"/>
    </row>
    <row r="235" spans="2:21" s="15" customFormat="1" x14ac:dyDescent="0.25">
      <c r="B235" s="72" t="s">
        <v>3202</v>
      </c>
      <c r="C235" s="73"/>
      <c r="D235" s="73"/>
      <c r="E235" s="73"/>
      <c r="F235" s="73"/>
      <c r="G235" s="73"/>
      <c r="H235" s="73"/>
      <c r="I235" s="73"/>
      <c r="J235" s="73"/>
      <c r="K235" s="73"/>
      <c r="L235" s="73"/>
      <c r="M235" s="73"/>
      <c r="N235" s="73"/>
      <c r="O235" s="73"/>
      <c r="P235" s="73"/>
      <c r="Q235" s="73"/>
      <c r="R235" s="73"/>
      <c r="S235" s="73"/>
      <c r="T235" s="73"/>
      <c r="U235" s="74"/>
    </row>
    <row r="236" spans="2:21" s="15" customFormat="1" x14ac:dyDescent="0.25">
      <c r="B236" s="72" t="s">
        <v>3085</v>
      </c>
      <c r="C236" s="73"/>
      <c r="D236" s="73"/>
      <c r="E236" s="73"/>
      <c r="F236" s="73"/>
      <c r="G236" s="73"/>
      <c r="H236" s="73"/>
      <c r="I236" s="73"/>
      <c r="J236" s="73"/>
      <c r="K236" s="73"/>
      <c r="L236" s="73"/>
      <c r="M236" s="73"/>
      <c r="N236" s="73"/>
      <c r="O236" s="73"/>
      <c r="P236" s="73"/>
      <c r="Q236" s="73"/>
      <c r="R236" s="73"/>
      <c r="S236" s="73"/>
      <c r="T236" s="73"/>
      <c r="U236" s="74"/>
    </row>
    <row r="237" spans="2:21" s="15" customFormat="1" x14ac:dyDescent="0.25">
      <c r="B237" s="72" t="s">
        <v>3166</v>
      </c>
      <c r="C237" s="73"/>
      <c r="D237" s="73"/>
      <c r="E237" s="73"/>
      <c r="F237" s="73"/>
      <c r="G237" s="73"/>
      <c r="H237" s="73"/>
      <c r="I237" s="73"/>
      <c r="J237" s="73"/>
      <c r="K237" s="73"/>
      <c r="L237" s="73"/>
      <c r="M237" s="73"/>
      <c r="N237" s="73"/>
      <c r="O237" s="73"/>
      <c r="P237" s="73"/>
      <c r="Q237" s="73"/>
      <c r="R237" s="73"/>
      <c r="S237" s="73"/>
      <c r="T237" s="73"/>
      <c r="U237" s="74"/>
    </row>
    <row r="238" spans="2:21" s="15" customFormat="1" x14ac:dyDescent="0.25">
      <c r="B238" s="72" t="s">
        <v>3203</v>
      </c>
      <c r="C238" s="73"/>
      <c r="D238" s="73"/>
      <c r="E238" s="73"/>
      <c r="F238" s="73"/>
      <c r="G238" s="73"/>
      <c r="H238" s="73"/>
      <c r="I238" s="73"/>
      <c r="J238" s="73"/>
      <c r="K238" s="73"/>
      <c r="L238" s="73"/>
      <c r="M238" s="73"/>
      <c r="N238" s="73"/>
      <c r="O238" s="73"/>
      <c r="P238" s="73"/>
      <c r="Q238" s="73"/>
      <c r="R238" s="73"/>
      <c r="S238" s="73"/>
      <c r="T238" s="73"/>
      <c r="U238" s="74"/>
    </row>
    <row r="239" spans="2:21" s="15" customFormat="1" x14ac:dyDescent="0.25">
      <c r="B239" s="72" t="s">
        <v>3204</v>
      </c>
      <c r="C239" s="73"/>
      <c r="D239" s="73"/>
      <c r="E239" s="73"/>
      <c r="F239" s="73"/>
      <c r="G239" s="73"/>
      <c r="H239" s="73"/>
      <c r="I239" s="73"/>
      <c r="J239" s="73"/>
      <c r="K239" s="73"/>
      <c r="L239" s="73"/>
      <c r="M239" s="73"/>
      <c r="N239" s="73"/>
      <c r="O239" s="73"/>
      <c r="P239" s="73"/>
      <c r="Q239" s="73"/>
      <c r="R239" s="73"/>
      <c r="S239" s="73"/>
      <c r="T239" s="73"/>
      <c r="U239" s="74"/>
    </row>
    <row r="240" spans="2:21" s="15" customFormat="1" x14ac:dyDescent="0.25">
      <c r="B240" s="72" t="s">
        <v>3205</v>
      </c>
      <c r="C240" s="73"/>
      <c r="D240" s="73"/>
      <c r="E240" s="73"/>
      <c r="F240" s="73"/>
      <c r="G240" s="73"/>
      <c r="H240" s="73"/>
      <c r="I240" s="73"/>
      <c r="J240" s="73"/>
      <c r="K240" s="73"/>
      <c r="L240" s="73"/>
      <c r="M240" s="73"/>
      <c r="N240" s="73"/>
      <c r="O240" s="73"/>
      <c r="P240" s="73"/>
      <c r="Q240" s="73"/>
      <c r="R240" s="73"/>
      <c r="S240" s="73"/>
      <c r="T240" s="73"/>
      <c r="U240" s="74"/>
    </row>
    <row r="241" spans="2:21" s="15" customFormat="1" x14ac:dyDescent="0.25">
      <c r="B241" s="72" t="s">
        <v>3206</v>
      </c>
      <c r="C241" s="73"/>
      <c r="D241" s="73"/>
      <c r="E241" s="73"/>
      <c r="F241" s="73"/>
      <c r="G241" s="73"/>
      <c r="H241" s="73"/>
      <c r="I241" s="73"/>
      <c r="J241" s="73"/>
      <c r="K241" s="73"/>
      <c r="L241" s="73"/>
      <c r="M241" s="73"/>
      <c r="N241" s="73"/>
      <c r="O241" s="73"/>
      <c r="P241" s="73"/>
      <c r="Q241" s="73"/>
      <c r="R241" s="73"/>
      <c r="S241" s="73"/>
      <c r="T241" s="73"/>
      <c r="U241" s="74"/>
    </row>
    <row r="242" spans="2:21" s="15" customFormat="1" x14ac:dyDescent="0.25">
      <c r="B242" s="72" t="s">
        <v>3207</v>
      </c>
      <c r="C242" s="73"/>
      <c r="D242" s="73"/>
      <c r="E242" s="73"/>
      <c r="F242" s="73"/>
      <c r="G242" s="73"/>
      <c r="H242" s="73"/>
      <c r="I242" s="73"/>
      <c r="J242" s="73"/>
      <c r="K242" s="73"/>
      <c r="L242" s="73"/>
      <c r="M242" s="73"/>
      <c r="N242" s="73"/>
      <c r="O242" s="73"/>
      <c r="P242" s="73"/>
      <c r="Q242" s="73"/>
      <c r="R242" s="73"/>
      <c r="S242" s="73"/>
      <c r="T242" s="73"/>
      <c r="U242" s="74"/>
    </row>
    <row r="243" spans="2:21" s="15" customFormat="1" x14ac:dyDescent="0.25">
      <c r="B243" s="72" t="s">
        <v>3083</v>
      </c>
      <c r="C243" s="73"/>
      <c r="D243" s="73"/>
      <c r="E243" s="73"/>
      <c r="F243" s="73"/>
      <c r="G243" s="73"/>
      <c r="H243" s="73"/>
      <c r="I243" s="73"/>
      <c r="J243" s="73"/>
      <c r="K243" s="73"/>
      <c r="L243" s="73"/>
      <c r="M243" s="73"/>
      <c r="N243" s="73"/>
      <c r="O243" s="73"/>
      <c r="P243" s="73"/>
      <c r="Q243" s="73"/>
      <c r="R243" s="73"/>
      <c r="S243" s="73"/>
      <c r="T243" s="73"/>
      <c r="U243" s="74"/>
    </row>
    <row r="244" spans="2:21" s="15" customFormat="1" x14ac:dyDescent="0.25">
      <c r="B244" s="72" t="s">
        <v>3208</v>
      </c>
      <c r="C244" s="73"/>
      <c r="D244" s="73"/>
      <c r="E244" s="73"/>
      <c r="F244" s="73"/>
      <c r="G244" s="73"/>
      <c r="H244" s="73"/>
      <c r="I244" s="73"/>
      <c r="J244" s="73"/>
      <c r="K244" s="73"/>
      <c r="L244" s="73"/>
      <c r="M244" s="73"/>
      <c r="N244" s="73"/>
      <c r="O244" s="73"/>
      <c r="P244" s="73"/>
      <c r="Q244" s="73"/>
      <c r="R244" s="73"/>
      <c r="S244" s="73"/>
      <c r="T244" s="73"/>
      <c r="U244" s="74"/>
    </row>
    <row r="245" spans="2:21" s="15" customFormat="1" x14ac:dyDescent="0.25">
      <c r="B245" s="72" t="s">
        <v>3209</v>
      </c>
      <c r="C245" s="73"/>
      <c r="D245" s="73"/>
      <c r="E245" s="73"/>
      <c r="F245" s="73"/>
      <c r="G245" s="73"/>
      <c r="H245" s="73"/>
      <c r="I245" s="73"/>
      <c r="J245" s="73"/>
      <c r="K245" s="73"/>
      <c r="L245" s="73"/>
      <c r="M245" s="73"/>
      <c r="N245" s="73"/>
      <c r="O245" s="73"/>
      <c r="P245" s="73"/>
      <c r="Q245" s="73"/>
      <c r="R245" s="73"/>
      <c r="S245" s="73"/>
      <c r="T245" s="73"/>
      <c r="U245" s="74"/>
    </row>
    <row r="246" spans="2:21" s="15" customFormat="1" x14ac:dyDescent="0.25">
      <c r="B246" s="72" t="s">
        <v>3210</v>
      </c>
      <c r="C246" s="73"/>
      <c r="D246" s="73"/>
      <c r="E246" s="73"/>
      <c r="F246" s="73"/>
      <c r="G246" s="73"/>
      <c r="H246" s="73"/>
      <c r="I246" s="73"/>
      <c r="J246" s="73"/>
      <c r="K246" s="73"/>
      <c r="L246" s="73"/>
      <c r="M246" s="73"/>
      <c r="N246" s="73"/>
      <c r="O246" s="73"/>
      <c r="P246" s="73"/>
      <c r="Q246" s="73"/>
      <c r="R246" s="73"/>
      <c r="S246" s="73"/>
      <c r="T246" s="73"/>
      <c r="U246" s="74"/>
    </row>
    <row r="247" spans="2:21" s="15" customFormat="1" x14ac:dyDescent="0.25">
      <c r="B247" s="75" t="s">
        <v>3211</v>
      </c>
      <c r="C247" s="76"/>
      <c r="D247" s="76"/>
      <c r="E247" s="76"/>
      <c r="F247" s="76"/>
      <c r="G247" s="76"/>
      <c r="H247" s="76"/>
      <c r="I247" s="76"/>
      <c r="J247" s="76"/>
      <c r="K247" s="76"/>
      <c r="L247" s="76"/>
      <c r="M247" s="76"/>
      <c r="N247" s="76"/>
      <c r="O247" s="76"/>
      <c r="P247" s="76"/>
      <c r="Q247" s="76"/>
      <c r="R247" s="76"/>
      <c r="S247" s="76"/>
      <c r="T247" s="76"/>
      <c r="U247" s="77"/>
    </row>
  </sheetData>
  <mergeCells count="244">
    <mergeCell ref="B244:U244"/>
    <mergeCell ref="B245:U245"/>
    <mergeCell ref="B246:U246"/>
    <mergeCell ref="B247:U247"/>
    <mergeCell ref="B239:U239"/>
    <mergeCell ref="B240:U240"/>
    <mergeCell ref="B241:U241"/>
    <mergeCell ref="B242:U242"/>
    <mergeCell ref="B243:U243"/>
    <mergeCell ref="B234:U234"/>
    <mergeCell ref="B235:U235"/>
    <mergeCell ref="B236:U236"/>
    <mergeCell ref="B237:U237"/>
    <mergeCell ref="B238:U238"/>
    <mergeCell ref="B229:U229"/>
    <mergeCell ref="B230:U230"/>
    <mergeCell ref="B231:U231"/>
    <mergeCell ref="B232:U232"/>
    <mergeCell ref="B233:U233"/>
    <mergeCell ref="B224:U224"/>
    <mergeCell ref="B225:U225"/>
    <mergeCell ref="B226:U226"/>
    <mergeCell ref="B227:U227"/>
    <mergeCell ref="B228:U228"/>
    <mergeCell ref="B219:U219"/>
    <mergeCell ref="B220:U220"/>
    <mergeCell ref="B221:U221"/>
    <mergeCell ref="B222:U222"/>
    <mergeCell ref="B223:U223"/>
    <mergeCell ref="B214:U214"/>
    <mergeCell ref="B215:U215"/>
    <mergeCell ref="B216:U216"/>
    <mergeCell ref="B217:U217"/>
    <mergeCell ref="B218:U218"/>
    <mergeCell ref="B209:U209"/>
    <mergeCell ref="B210:U210"/>
    <mergeCell ref="B211:U211"/>
    <mergeCell ref="B212:U212"/>
    <mergeCell ref="B213:U213"/>
    <mergeCell ref="B204:U204"/>
    <mergeCell ref="B205:U205"/>
    <mergeCell ref="B206:U206"/>
    <mergeCell ref="B207:U207"/>
    <mergeCell ref="B208:U208"/>
    <mergeCell ref="B199:U199"/>
    <mergeCell ref="B200:U200"/>
    <mergeCell ref="B201:U201"/>
    <mergeCell ref="B202:U202"/>
    <mergeCell ref="B203:U203"/>
    <mergeCell ref="B194:U194"/>
    <mergeCell ref="B195:U195"/>
    <mergeCell ref="B196:U196"/>
    <mergeCell ref="B197:U197"/>
    <mergeCell ref="B198:U198"/>
    <mergeCell ref="B189:U189"/>
    <mergeCell ref="B190:U190"/>
    <mergeCell ref="B191:U191"/>
    <mergeCell ref="B192:U192"/>
    <mergeCell ref="B193:U193"/>
    <mergeCell ref="B184:U184"/>
    <mergeCell ref="B185:U185"/>
    <mergeCell ref="B186:U186"/>
    <mergeCell ref="B187:U187"/>
    <mergeCell ref="B188:U188"/>
    <mergeCell ref="B179:U179"/>
    <mergeCell ref="B180:U180"/>
    <mergeCell ref="B181:U181"/>
    <mergeCell ref="B182:U182"/>
    <mergeCell ref="B183:U183"/>
    <mergeCell ref="B174:U174"/>
    <mergeCell ref="B175:U175"/>
    <mergeCell ref="B176:U176"/>
    <mergeCell ref="B177:U177"/>
    <mergeCell ref="B178:U178"/>
    <mergeCell ref="B169:U169"/>
    <mergeCell ref="B170:U170"/>
    <mergeCell ref="B171:U171"/>
    <mergeCell ref="B172:U172"/>
    <mergeCell ref="B173:U173"/>
    <mergeCell ref="B164:U164"/>
    <mergeCell ref="B165:U165"/>
    <mergeCell ref="B166:U166"/>
    <mergeCell ref="B167:U167"/>
    <mergeCell ref="B168:U168"/>
    <mergeCell ref="B159:U159"/>
    <mergeCell ref="B160:U160"/>
    <mergeCell ref="B161:U161"/>
    <mergeCell ref="B162:U162"/>
    <mergeCell ref="B163:U163"/>
    <mergeCell ref="B154:U154"/>
    <mergeCell ref="B155:U155"/>
    <mergeCell ref="B156:U156"/>
    <mergeCell ref="B157:U157"/>
    <mergeCell ref="B158:U158"/>
    <mergeCell ref="B149:U149"/>
    <mergeCell ref="B150:U150"/>
    <mergeCell ref="B151:U151"/>
    <mergeCell ref="B152:U152"/>
    <mergeCell ref="B153:U153"/>
    <mergeCell ref="B144:U144"/>
    <mergeCell ref="B145:U145"/>
    <mergeCell ref="B146:U146"/>
    <mergeCell ref="B147:U147"/>
    <mergeCell ref="B148:U148"/>
    <mergeCell ref="B139:U139"/>
    <mergeCell ref="B140:U140"/>
    <mergeCell ref="B141:U141"/>
    <mergeCell ref="B142:U142"/>
    <mergeCell ref="B143:U143"/>
    <mergeCell ref="B134:U134"/>
    <mergeCell ref="B135:U135"/>
    <mergeCell ref="B136:U136"/>
    <mergeCell ref="B137:U137"/>
    <mergeCell ref="B138:U138"/>
    <mergeCell ref="B129:U129"/>
    <mergeCell ref="B130:U130"/>
    <mergeCell ref="B131:U131"/>
    <mergeCell ref="B132:U132"/>
    <mergeCell ref="B133:U133"/>
    <mergeCell ref="B124:U124"/>
    <mergeCell ref="B125:U125"/>
    <mergeCell ref="B126:U126"/>
    <mergeCell ref="B127:U127"/>
    <mergeCell ref="B128:U128"/>
    <mergeCell ref="B119:U119"/>
    <mergeCell ref="B120:U120"/>
    <mergeCell ref="B121:U121"/>
    <mergeCell ref="B122:U122"/>
    <mergeCell ref="B123:U123"/>
    <mergeCell ref="B114:U114"/>
    <mergeCell ref="B115:U115"/>
    <mergeCell ref="B116:U116"/>
    <mergeCell ref="B117:U117"/>
    <mergeCell ref="B118:U118"/>
    <mergeCell ref="B109:U109"/>
    <mergeCell ref="B110:U110"/>
    <mergeCell ref="B111:U111"/>
    <mergeCell ref="B112:U112"/>
    <mergeCell ref="B113:U113"/>
    <mergeCell ref="B104:U104"/>
    <mergeCell ref="B105:U105"/>
    <mergeCell ref="B106:U106"/>
    <mergeCell ref="B107:U107"/>
    <mergeCell ref="B108:U108"/>
    <mergeCell ref="B99:U99"/>
    <mergeCell ref="B100:U100"/>
    <mergeCell ref="B101:U101"/>
    <mergeCell ref="B102:U102"/>
    <mergeCell ref="B103:U103"/>
    <mergeCell ref="B94:U94"/>
    <mergeCell ref="B95:U95"/>
    <mergeCell ref="B96:U96"/>
    <mergeCell ref="B97:U97"/>
    <mergeCell ref="B98:U98"/>
    <mergeCell ref="B89:U89"/>
    <mergeCell ref="B90:U90"/>
    <mergeCell ref="B91:U91"/>
    <mergeCell ref="B92:U92"/>
    <mergeCell ref="B93:U93"/>
    <mergeCell ref="B84:U84"/>
    <mergeCell ref="B85:U85"/>
    <mergeCell ref="B86:U86"/>
    <mergeCell ref="B87:U87"/>
    <mergeCell ref="B88:U88"/>
    <mergeCell ref="B79:U79"/>
    <mergeCell ref="B80:U80"/>
    <mergeCell ref="B81:U81"/>
    <mergeCell ref="B82:U82"/>
    <mergeCell ref="B83:U83"/>
    <mergeCell ref="B74:U74"/>
    <mergeCell ref="B75:U75"/>
    <mergeCell ref="B76:U76"/>
    <mergeCell ref="B77:U77"/>
    <mergeCell ref="B78:U78"/>
    <mergeCell ref="B69:U69"/>
    <mergeCell ref="B70:U70"/>
    <mergeCell ref="B71:U71"/>
    <mergeCell ref="B72:U72"/>
    <mergeCell ref="B73:U73"/>
    <mergeCell ref="B64:U64"/>
    <mergeCell ref="B65:U65"/>
    <mergeCell ref="B66:U66"/>
    <mergeCell ref="B67:U67"/>
    <mergeCell ref="B68:U68"/>
    <mergeCell ref="B59:U59"/>
    <mergeCell ref="B60:U60"/>
    <mergeCell ref="B61:U61"/>
    <mergeCell ref="B62:U62"/>
    <mergeCell ref="B63:U63"/>
    <mergeCell ref="B54:U54"/>
    <mergeCell ref="B55:U55"/>
    <mergeCell ref="B56:U56"/>
    <mergeCell ref="B57:U57"/>
    <mergeCell ref="B58:U58"/>
    <mergeCell ref="B49:U49"/>
    <mergeCell ref="B50:U50"/>
    <mergeCell ref="B51:U51"/>
    <mergeCell ref="B52:U52"/>
    <mergeCell ref="B53:U53"/>
    <mergeCell ref="B44:U44"/>
    <mergeCell ref="B45:U45"/>
    <mergeCell ref="B46:U46"/>
    <mergeCell ref="B47:U47"/>
    <mergeCell ref="B48:U48"/>
    <mergeCell ref="B39:U39"/>
    <mergeCell ref="B40:U40"/>
    <mergeCell ref="B41:U41"/>
    <mergeCell ref="B42:U42"/>
    <mergeCell ref="B43:U43"/>
    <mergeCell ref="B34:U34"/>
    <mergeCell ref="B35:U35"/>
    <mergeCell ref="B36:U36"/>
    <mergeCell ref="B37:U37"/>
    <mergeCell ref="B38:U38"/>
    <mergeCell ref="B29:U29"/>
    <mergeCell ref="B30:U30"/>
    <mergeCell ref="B31:U31"/>
    <mergeCell ref="B32:U32"/>
    <mergeCell ref="B33:U33"/>
    <mergeCell ref="B24:U24"/>
    <mergeCell ref="B25:U25"/>
    <mergeCell ref="B26:U26"/>
    <mergeCell ref="B27:U27"/>
    <mergeCell ref="B28:U28"/>
    <mergeCell ref="B19:U19"/>
    <mergeCell ref="B20:U20"/>
    <mergeCell ref="B21:U21"/>
    <mergeCell ref="B22:U22"/>
    <mergeCell ref="B23:U23"/>
    <mergeCell ref="B14:U14"/>
    <mergeCell ref="B15:U15"/>
    <mergeCell ref="B16:U16"/>
    <mergeCell ref="B17:U17"/>
    <mergeCell ref="B18:U18"/>
    <mergeCell ref="B9:U9"/>
    <mergeCell ref="B10:U10"/>
    <mergeCell ref="B11:U11"/>
    <mergeCell ref="B12:U12"/>
    <mergeCell ref="B13:U13"/>
    <mergeCell ref="A1:AD1"/>
    <mergeCell ref="B5:U5"/>
    <mergeCell ref="B6:U6"/>
    <mergeCell ref="B7:U7"/>
    <mergeCell ref="B8:U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842"/>
  <sheetViews>
    <sheetView workbookViewId="0"/>
  </sheetViews>
  <sheetFormatPr defaultRowHeight="15" x14ac:dyDescent="0.25"/>
  <cols>
    <col min="1" max="21" width="9.140625" customWidth="1"/>
  </cols>
  <sheetData>
    <row r="1" spans="1:30" s="1" customFormat="1" ht="19.5" x14ac:dyDescent="0.3">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5" spans="1:30" s="15" customFormat="1" x14ac:dyDescent="0.25">
      <c r="B5" s="69" t="s">
        <v>3040</v>
      </c>
      <c r="C5" s="70"/>
      <c r="D5" s="70"/>
      <c r="E5" s="70"/>
      <c r="F5" s="70"/>
      <c r="G5" s="70"/>
      <c r="H5" s="70"/>
      <c r="I5" s="70"/>
      <c r="J5" s="70"/>
      <c r="K5" s="70"/>
      <c r="L5" s="70"/>
      <c r="M5" s="70"/>
      <c r="N5" s="70"/>
      <c r="O5" s="70"/>
      <c r="P5" s="70"/>
      <c r="Q5" s="70"/>
      <c r="R5" s="70"/>
      <c r="S5" s="70"/>
      <c r="T5" s="70"/>
      <c r="U5" s="71"/>
    </row>
    <row r="6" spans="1:30" s="15" customFormat="1" x14ac:dyDescent="0.25">
      <c r="B6" s="72" t="s">
        <v>3041</v>
      </c>
      <c r="C6" s="73"/>
      <c r="D6" s="73"/>
      <c r="E6" s="73"/>
      <c r="F6" s="73"/>
      <c r="G6" s="73"/>
      <c r="H6" s="73"/>
      <c r="I6" s="73"/>
      <c r="J6" s="73"/>
      <c r="K6" s="73"/>
      <c r="L6" s="73"/>
      <c r="M6" s="73"/>
      <c r="N6" s="73"/>
      <c r="O6" s="73"/>
      <c r="P6" s="73"/>
      <c r="Q6" s="73"/>
      <c r="R6" s="73"/>
      <c r="S6" s="73"/>
      <c r="T6" s="73"/>
      <c r="U6" s="74"/>
    </row>
    <row r="7" spans="1:30" s="15" customFormat="1" x14ac:dyDescent="0.25">
      <c r="B7" s="72" t="s">
        <v>3042</v>
      </c>
      <c r="C7" s="73"/>
      <c r="D7" s="73"/>
      <c r="E7" s="73"/>
      <c r="F7" s="73"/>
      <c r="G7" s="73"/>
      <c r="H7" s="73"/>
      <c r="I7" s="73"/>
      <c r="J7" s="73"/>
      <c r="K7" s="73"/>
      <c r="L7" s="73"/>
      <c r="M7" s="73"/>
      <c r="N7" s="73"/>
      <c r="O7" s="73"/>
      <c r="P7" s="73"/>
      <c r="Q7" s="73"/>
      <c r="R7" s="73"/>
      <c r="S7" s="73"/>
      <c r="T7" s="73"/>
      <c r="U7" s="74"/>
    </row>
    <row r="8" spans="1:30" s="15" customFormat="1" x14ac:dyDescent="0.25">
      <c r="B8" s="72" t="s">
        <v>3043</v>
      </c>
      <c r="C8" s="73"/>
      <c r="D8" s="73"/>
      <c r="E8" s="73"/>
      <c r="F8" s="73"/>
      <c r="G8" s="73"/>
      <c r="H8" s="73"/>
      <c r="I8" s="73"/>
      <c r="J8" s="73"/>
      <c r="K8" s="73"/>
      <c r="L8" s="73"/>
      <c r="M8" s="73"/>
      <c r="N8" s="73"/>
      <c r="O8" s="73"/>
      <c r="P8" s="73"/>
      <c r="Q8" s="73"/>
      <c r="R8" s="73"/>
      <c r="S8" s="73"/>
      <c r="T8" s="73"/>
      <c r="U8" s="74"/>
    </row>
    <row r="9" spans="1:30" s="15" customFormat="1" x14ac:dyDescent="0.25">
      <c r="B9" s="72" t="s">
        <v>3044</v>
      </c>
      <c r="C9" s="73"/>
      <c r="D9" s="73"/>
      <c r="E9" s="73"/>
      <c r="F9" s="73"/>
      <c r="G9" s="73"/>
      <c r="H9" s="73"/>
      <c r="I9" s="73"/>
      <c r="J9" s="73"/>
      <c r="K9" s="73"/>
      <c r="L9" s="73"/>
      <c r="M9" s="73"/>
      <c r="N9" s="73"/>
      <c r="O9" s="73"/>
      <c r="P9" s="73"/>
      <c r="Q9" s="73"/>
      <c r="R9" s="73"/>
      <c r="S9" s="73"/>
      <c r="T9" s="73"/>
      <c r="U9" s="74"/>
    </row>
    <row r="10" spans="1:30" s="15" customFormat="1" x14ac:dyDescent="0.25">
      <c r="B10" s="72" t="s">
        <v>3212</v>
      </c>
      <c r="C10" s="73"/>
      <c r="D10" s="73"/>
      <c r="E10" s="73"/>
      <c r="F10" s="73"/>
      <c r="G10" s="73"/>
      <c r="H10" s="73"/>
      <c r="I10" s="73"/>
      <c r="J10" s="73"/>
      <c r="K10" s="73"/>
      <c r="L10" s="73"/>
      <c r="M10" s="73"/>
      <c r="N10" s="73"/>
      <c r="O10" s="73"/>
      <c r="P10" s="73"/>
      <c r="Q10" s="73"/>
      <c r="R10" s="73"/>
      <c r="S10" s="73"/>
      <c r="T10" s="73"/>
      <c r="U10" s="74"/>
    </row>
    <row r="11" spans="1:30" s="15" customFormat="1" x14ac:dyDescent="0.25">
      <c r="B11" s="72" t="s">
        <v>3213</v>
      </c>
      <c r="C11" s="73"/>
      <c r="D11" s="73"/>
      <c r="E11" s="73"/>
      <c r="F11" s="73"/>
      <c r="G11" s="73"/>
      <c r="H11" s="73"/>
      <c r="I11" s="73"/>
      <c r="J11" s="73"/>
      <c r="K11" s="73"/>
      <c r="L11" s="73"/>
      <c r="M11" s="73"/>
      <c r="N11" s="73"/>
      <c r="O11" s="73"/>
      <c r="P11" s="73"/>
      <c r="Q11" s="73"/>
      <c r="R11" s="73"/>
      <c r="S11" s="73"/>
      <c r="T11" s="73"/>
      <c r="U11" s="74"/>
    </row>
    <row r="12" spans="1:30" s="15" customFormat="1" x14ac:dyDescent="0.25">
      <c r="B12" s="72" t="s">
        <v>3214</v>
      </c>
      <c r="C12" s="73"/>
      <c r="D12" s="73"/>
      <c r="E12" s="73"/>
      <c r="F12" s="73"/>
      <c r="G12" s="73"/>
      <c r="H12" s="73"/>
      <c r="I12" s="73"/>
      <c r="J12" s="73"/>
      <c r="K12" s="73"/>
      <c r="L12" s="73"/>
      <c r="M12" s="73"/>
      <c r="N12" s="73"/>
      <c r="O12" s="73"/>
      <c r="P12" s="73"/>
      <c r="Q12" s="73"/>
      <c r="R12" s="73"/>
      <c r="S12" s="73"/>
      <c r="T12" s="73"/>
      <c r="U12" s="74"/>
    </row>
    <row r="13" spans="1:30" s="15" customFormat="1" x14ac:dyDescent="0.25">
      <c r="B13" s="72" t="s">
        <v>3048</v>
      </c>
      <c r="C13" s="73"/>
      <c r="D13" s="73"/>
      <c r="E13" s="73"/>
      <c r="F13" s="73"/>
      <c r="G13" s="73"/>
      <c r="H13" s="73"/>
      <c r="I13" s="73"/>
      <c r="J13" s="73"/>
      <c r="K13" s="73"/>
      <c r="L13" s="73"/>
      <c r="M13" s="73"/>
      <c r="N13" s="73"/>
      <c r="O13" s="73"/>
      <c r="P13" s="73"/>
      <c r="Q13" s="73"/>
      <c r="R13" s="73"/>
      <c r="S13" s="73"/>
      <c r="T13" s="73"/>
      <c r="U13" s="74"/>
    </row>
    <row r="14" spans="1:30" s="15" customFormat="1" x14ac:dyDescent="0.25">
      <c r="B14" s="72" t="s">
        <v>3049</v>
      </c>
      <c r="C14" s="73"/>
      <c r="D14" s="73"/>
      <c r="E14" s="73"/>
      <c r="F14" s="73"/>
      <c r="G14" s="73"/>
      <c r="H14" s="73"/>
      <c r="I14" s="73"/>
      <c r="J14" s="73"/>
      <c r="K14" s="73"/>
      <c r="L14" s="73"/>
      <c r="M14" s="73"/>
      <c r="N14" s="73"/>
      <c r="O14" s="73"/>
      <c r="P14" s="73"/>
      <c r="Q14" s="73"/>
      <c r="R14" s="73"/>
      <c r="S14" s="73"/>
      <c r="T14" s="73"/>
      <c r="U14" s="74"/>
    </row>
    <row r="15" spans="1:30" s="15" customFormat="1" x14ac:dyDescent="0.25">
      <c r="B15" s="72" t="s">
        <v>3050</v>
      </c>
      <c r="C15" s="73"/>
      <c r="D15" s="73"/>
      <c r="E15" s="73"/>
      <c r="F15" s="73"/>
      <c r="G15" s="73"/>
      <c r="H15" s="73"/>
      <c r="I15" s="73"/>
      <c r="J15" s="73"/>
      <c r="K15" s="73"/>
      <c r="L15" s="73"/>
      <c r="M15" s="73"/>
      <c r="N15" s="73"/>
      <c r="O15" s="73"/>
      <c r="P15" s="73"/>
      <c r="Q15" s="73"/>
      <c r="R15" s="73"/>
      <c r="S15" s="73"/>
      <c r="T15" s="73"/>
      <c r="U15" s="74"/>
    </row>
    <row r="16" spans="1:30" s="15" customFormat="1" x14ac:dyDescent="0.25">
      <c r="B16" s="72" t="s">
        <v>3051</v>
      </c>
      <c r="C16" s="73"/>
      <c r="D16" s="73"/>
      <c r="E16" s="73"/>
      <c r="F16" s="73"/>
      <c r="G16" s="73"/>
      <c r="H16" s="73"/>
      <c r="I16" s="73"/>
      <c r="J16" s="73"/>
      <c r="K16" s="73"/>
      <c r="L16" s="73"/>
      <c r="M16" s="73"/>
      <c r="N16" s="73"/>
      <c r="O16" s="73"/>
      <c r="P16" s="73"/>
      <c r="Q16" s="73"/>
      <c r="R16" s="73"/>
      <c r="S16" s="73"/>
      <c r="T16" s="73"/>
      <c r="U16" s="74"/>
    </row>
    <row r="17" spans="2:21" s="15" customFormat="1" x14ac:dyDescent="0.25">
      <c r="B17" s="72" t="s">
        <v>3052</v>
      </c>
      <c r="C17" s="73"/>
      <c r="D17" s="73"/>
      <c r="E17" s="73"/>
      <c r="F17" s="73"/>
      <c r="G17" s="73"/>
      <c r="H17" s="73"/>
      <c r="I17" s="73"/>
      <c r="J17" s="73"/>
      <c r="K17" s="73"/>
      <c r="L17" s="73"/>
      <c r="M17" s="73"/>
      <c r="N17" s="73"/>
      <c r="O17" s="73"/>
      <c r="P17" s="73"/>
      <c r="Q17" s="73"/>
      <c r="R17" s="73"/>
      <c r="S17" s="73"/>
      <c r="T17" s="73"/>
      <c r="U17" s="74"/>
    </row>
    <row r="18" spans="2:21" s="15" customFormat="1" x14ac:dyDescent="0.25">
      <c r="B18" s="72" t="s">
        <v>3215</v>
      </c>
      <c r="C18" s="73"/>
      <c r="D18" s="73"/>
      <c r="E18" s="73"/>
      <c r="F18" s="73"/>
      <c r="G18" s="73"/>
      <c r="H18" s="73"/>
      <c r="I18" s="73"/>
      <c r="J18" s="73"/>
      <c r="K18" s="73"/>
      <c r="L18" s="73"/>
      <c r="M18" s="73"/>
      <c r="N18" s="73"/>
      <c r="O18" s="73"/>
      <c r="P18" s="73"/>
      <c r="Q18" s="73"/>
      <c r="R18" s="73"/>
      <c r="S18" s="73"/>
      <c r="T18" s="73"/>
      <c r="U18" s="74"/>
    </row>
    <row r="19" spans="2:21" s="15" customFormat="1" x14ac:dyDescent="0.25">
      <c r="B19" s="72" t="s">
        <v>3216</v>
      </c>
      <c r="C19" s="73"/>
      <c r="D19" s="73"/>
      <c r="E19" s="73"/>
      <c r="F19" s="73"/>
      <c r="G19" s="73"/>
      <c r="H19" s="73"/>
      <c r="I19" s="73"/>
      <c r="J19" s="73"/>
      <c r="K19" s="73"/>
      <c r="L19" s="73"/>
      <c r="M19" s="73"/>
      <c r="N19" s="73"/>
      <c r="O19" s="73"/>
      <c r="P19" s="73"/>
      <c r="Q19" s="73"/>
      <c r="R19" s="73"/>
      <c r="S19" s="73"/>
      <c r="T19" s="73"/>
      <c r="U19" s="74"/>
    </row>
    <row r="20" spans="2:21" s="15" customFormat="1" x14ac:dyDescent="0.25">
      <c r="B20" s="72" t="s">
        <v>3217</v>
      </c>
      <c r="C20" s="73"/>
      <c r="D20" s="73"/>
      <c r="E20" s="73"/>
      <c r="F20" s="73"/>
      <c r="G20" s="73"/>
      <c r="H20" s="73"/>
      <c r="I20" s="73"/>
      <c r="J20" s="73"/>
      <c r="K20" s="73"/>
      <c r="L20" s="73"/>
      <c r="M20" s="73"/>
      <c r="N20" s="73"/>
      <c r="O20" s="73"/>
      <c r="P20" s="73"/>
      <c r="Q20" s="73"/>
      <c r="R20" s="73"/>
      <c r="S20" s="73"/>
      <c r="T20" s="73"/>
      <c r="U20" s="74"/>
    </row>
    <row r="21" spans="2:21" s="15" customFormat="1" x14ac:dyDescent="0.25">
      <c r="B21" s="72" t="s">
        <v>3056</v>
      </c>
      <c r="C21" s="73"/>
      <c r="D21" s="73"/>
      <c r="E21" s="73"/>
      <c r="F21" s="73"/>
      <c r="G21" s="73"/>
      <c r="H21" s="73"/>
      <c r="I21" s="73"/>
      <c r="J21" s="73"/>
      <c r="K21" s="73"/>
      <c r="L21" s="73"/>
      <c r="M21" s="73"/>
      <c r="N21" s="73"/>
      <c r="O21" s="73"/>
      <c r="P21" s="73"/>
      <c r="Q21" s="73"/>
      <c r="R21" s="73"/>
      <c r="S21" s="73"/>
      <c r="T21" s="73"/>
      <c r="U21" s="74"/>
    </row>
    <row r="22" spans="2:21" s="15" customFormat="1" x14ac:dyDescent="0.25">
      <c r="B22" s="72" t="s">
        <v>3057</v>
      </c>
      <c r="C22" s="73"/>
      <c r="D22" s="73"/>
      <c r="E22" s="73"/>
      <c r="F22" s="73"/>
      <c r="G22" s="73"/>
      <c r="H22" s="73"/>
      <c r="I22" s="73"/>
      <c r="J22" s="73"/>
      <c r="K22" s="73"/>
      <c r="L22" s="73"/>
      <c r="M22" s="73"/>
      <c r="N22" s="73"/>
      <c r="O22" s="73"/>
      <c r="P22" s="73"/>
      <c r="Q22" s="73"/>
      <c r="R22" s="73"/>
      <c r="S22" s="73"/>
      <c r="T22" s="73"/>
      <c r="U22" s="74"/>
    </row>
    <row r="23" spans="2:21" s="15" customFormat="1" x14ac:dyDescent="0.25">
      <c r="B23" s="72" t="s">
        <v>3058</v>
      </c>
      <c r="C23" s="73"/>
      <c r="D23" s="73"/>
      <c r="E23" s="73"/>
      <c r="F23" s="73"/>
      <c r="G23" s="73"/>
      <c r="H23" s="73"/>
      <c r="I23" s="73"/>
      <c r="J23" s="73"/>
      <c r="K23" s="73"/>
      <c r="L23" s="73"/>
      <c r="M23" s="73"/>
      <c r="N23" s="73"/>
      <c r="O23" s="73"/>
      <c r="P23" s="73"/>
      <c r="Q23" s="73"/>
      <c r="R23" s="73"/>
      <c r="S23" s="73"/>
      <c r="T23" s="73"/>
      <c r="U23" s="74"/>
    </row>
    <row r="24" spans="2:21" s="15" customFormat="1" x14ac:dyDescent="0.25">
      <c r="B24" s="72" t="s">
        <v>3059</v>
      </c>
      <c r="C24" s="73"/>
      <c r="D24" s="73"/>
      <c r="E24" s="73"/>
      <c r="F24" s="73"/>
      <c r="G24" s="73"/>
      <c r="H24" s="73"/>
      <c r="I24" s="73"/>
      <c r="J24" s="73"/>
      <c r="K24" s="73"/>
      <c r="L24" s="73"/>
      <c r="M24" s="73"/>
      <c r="N24" s="73"/>
      <c r="O24" s="73"/>
      <c r="P24" s="73"/>
      <c r="Q24" s="73"/>
      <c r="R24" s="73"/>
      <c r="S24" s="73"/>
      <c r="T24" s="73"/>
      <c r="U24" s="74"/>
    </row>
    <row r="25" spans="2:21" s="15" customFormat="1" x14ac:dyDescent="0.25">
      <c r="B25" s="72" t="s">
        <v>3218</v>
      </c>
      <c r="C25" s="73"/>
      <c r="D25" s="73"/>
      <c r="E25" s="73"/>
      <c r="F25" s="73"/>
      <c r="G25" s="73"/>
      <c r="H25" s="73"/>
      <c r="I25" s="73"/>
      <c r="J25" s="73"/>
      <c r="K25" s="73"/>
      <c r="L25" s="73"/>
      <c r="M25" s="73"/>
      <c r="N25" s="73"/>
      <c r="O25" s="73"/>
      <c r="P25" s="73"/>
      <c r="Q25" s="73"/>
      <c r="R25" s="73"/>
      <c r="S25" s="73"/>
      <c r="T25" s="73"/>
      <c r="U25" s="74"/>
    </row>
    <row r="26" spans="2:21" s="15" customFormat="1" x14ac:dyDescent="0.25">
      <c r="B26" s="72" t="s">
        <v>3219</v>
      </c>
      <c r="C26" s="73"/>
      <c r="D26" s="73"/>
      <c r="E26" s="73"/>
      <c r="F26" s="73"/>
      <c r="G26" s="73"/>
      <c r="H26" s="73"/>
      <c r="I26" s="73"/>
      <c r="J26" s="73"/>
      <c r="K26" s="73"/>
      <c r="L26" s="73"/>
      <c r="M26" s="73"/>
      <c r="N26" s="73"/>
      <c r="O26" s="73"/>
      <c r="P26" s="73"/>
      <c r="Q26" s="73"/>
      <c r="R26" s="73"/>
      <c r="S26" s="73"/>
      <c r="T26" s="73"/>
      <c r="U26" s="74"/>
    </row>
    <row r="27" spans="2:21" s="15" customFormat="1" x14ac:dyDescent="0.25">
      <c r="B27" s="72" t="s">
        <v>3220</v>
      </c>
      <c r="C27" s="73"/>
      <c r="D27" s="73"/>
      <c r="E27" s="73"/>
      <c r="F27" s="73"/>
      <c r="G27" s="73"/>
      <c r="H27" s="73"/>
      <c r="I27" s="73"/>
      <c r="J27" s="73"/>
      <c r="K27" s="73"/>
      <c r="L27" s="73"/>
      <c r="M27" s="73"/>
      <c r="N27" s="73"/>
      <c r="O27" s="73"/>
      <c r="P27" s="73"/>
      <c r="Q27" s="73"/>
      <c r="R27" s="73"/>
      <c r="S27" s="73"/>
      <c r="T27" s="73"/>
      <c r="U27" s="74"/>
    </row>
    <row r="28" spans="2:21" s="15" customFormat="1" x14ac:dyDescent="0.25">
      <c r="B28" s="72" t="s">
        <v>3221</v>
      </c>
      <c r="C28" s="73"/>
      <c r="D28" s="73"/>
      <c r="E28" s="73"/>
      <c r="F28" s="73"/>
      <c r="G28" s="73"/>
      <c r="H28" s="73"/>
      <c r="I28" s="73"/>
      <c r="J28" s="73"/>
      <c r="K28" s="73"/>
      <c r="L28" s="73"/>
      <c r="M28" s="73"/>
      <c r="N28" s="73"/>
      <c r="O28" s="73"/>
      <c r="P28" s="73"/>
      <c r="Q28" s="73"/>
      <c r="R28" s="73"/>
      <c r="S28" s="73"/>
      <c r="T28" s="73"/>
      <c r="U28" s="74"/>
    </row>
    <row r="29" spans="2:21" s="15" customFormat="1" x14ac:dyDescent="0.25">
      <c r="B29" s="72" t="s">
        <v>3222</v>
      </c>
      <c r="C29" s="73"/>
      <c r="D29" s="73"/>
      <c r="E29" s="73"/>
      <c r="F29" s="73"/>
      <c r="G29" s="73"/>
      <c r="H29" s="73"/>
      <c r="I29" s="73"/>
      <c r="J29" s="73"/>
      <c r="K29" s="73"/>
      <c r="L29" s="73"/>
      <c r="M29" s="73"/>
      <c r="N29" s="73"/>
      <c r="O29" s="73"/>
      <c r="P29" s="73"/>
      <c r="Q29" s="73"/>
      <c r="R29" s="73"/>
      <c r="S29" s="73"/>
      <c r="T29" s="73"/>
      <c r="U29" s="74"/>
    </row>
    <row r="30" spans="2:21" s="15" customFormat="1" x14ac:dyDescent="0.25">
      <c r="B30" s="72" t="s">
        <v>3063</v>
      </c>
      <c r="C30" s="73"/>
      <c r="D30" s="73"/>
      <c r="E30" s="73"/>
      <c r="F30" s="73"/>
      <c r="G30" s="73"/>
      <c r="H30" s="73"/>
      <c r="I30" s="73"/>
      <c r="J30" s="73"/>
      <c r="K30" s="73"/>
      <c r="L30" s="73"/>
      <c r="M30" s="73"/>
      <c r="N30" s="73"/>
      <c r="O30" s="73"/>
      <c r="P30" s="73"/>
      <c r="Q30" s="73"/>
      <c r="R30" s="73"/>
      <c r="S30" s="73"/>
      <c r="T30" s="73"/>
      <c r="U30" s="74"/>
    </row>
    <row r="31" spans="2:21" s="15" customFormat="1" x14ac:dyDescent="0.25">
      <c r="B31" s="72" t="s">
        <v>3064</v>
      </c>
      <c r="C31" s="73"/>
      <c r="D31" s="73"/>
      <c r="E31" s="73"/>
      <c r="F31" s="73"/>
      <c r="G31" s="73"/>
      <c r="H31" s="73"/>
      <c r="I31" s="73"/>
      <c r="J31" s="73"/>
      <c r="K31" s="73"/>
      <c r="L31" s="73"/>
      <c r="M31" s="73"/>
      <c r="N31" s="73"/>
      <c r="O31" s="73"/>
      <c r="P31" s="73"/>
      <c r="Q31" s="73"/>
      <c r="R31" s="73"/>
      <c r="S31" s="73"/>
      <c r="T31" s="73"/>
      <c r="U31" s="74"/>
    </row>
    <row r="32" spans="2:21" s="15" customFormat="1" x14ac:dyDescent="0.25">
      <c r="B32" s="72" t="s">
        <v>3223</v>
      </c>
      <c r="C32" s="73"/>
      <c r="D32" s="73"/>
      <c r="E32" s="73"/>
      <c r="F32" s="73"/>
      <c r="G32" s="73"/>
      <c r="H32" s="73"/>
      <c r="I32" s="73"/>
      <c r="J32" s="73"/>
      <c r="K32" s="73"/>
      <c r="L32" s="73"/>
      <c r="M32" s="73"/>
      <c r="N32" s="73"/>
      <c r="O32" s="73"/>
      <c r="P32" s="73"/>
      <c r="Q32" s="73"/>
      <c r="R32" s="73"/>
      <c r="S32" s="73"/>
      <c r="T32" s="73"/>
      <c r="U32" s="74"/>
    </row>
    <row r="33" spans="2:21" s="15" customFormat="1" x14ac:dyDescent="0.25">
      <c r="B33" s="72" t="s">
        <v>3067</v>
      </c>
      <c r="C33" s="73"/>
      <c r="D33" s="73"/>
      <c r="E33" s="73"/>
      <c r="F33" s="73"/>
      <c r="G33" s="73"/>
      <c r="H33" s="73"/>
      <c r="I33" s="73"/>
      <c r="J33" s="73"/>
      <c r="K33" s="73"/>
      <c r="L33" s="73"/>
      <c r="M33" s="73"/>
      <c r="N33" s="73"/>
      <c r="O33" s="73"/>
      <c r="P33" s="73"/>
      <c r="Q33" s="73"/>
      <c r="R33" s="73"/>
      <c r="S33" s="73"/>
      <c r="T33" s="73"/>
      <c r="U33" s="74"/>
    </row>
    <row r="34" spans="2:21" s="15" customFormat="1" x14ac:dyDescent="0.25">
      <c r="B34" s="72" t="s">
        <v>3224</v>
      </c>
      <c r="C34" s="73"/>
      <c r="D34" s="73"/>
      <c r="E34" s="73"/>
      <c r="F34" s="73"/>
      <c r="G34" s="73"/>
      <c r="H34" s="73"/>
      <c r="I34" s="73"/>
      <c r="J34" s="73"/>
      <c r="K34" s="73"/>
      <c r="L34" s="73"/>
      <c r="M34" s="73"/>
      <c r="N34" s="73"/>
      <c r="O34" s="73"/>
      <c r="P34" s="73"/>
      <c r="Q34" s="73"/>
      <c r="R34" s="73"/>
      <c r="S34" s="73"/>
      <c r="T34" s="73"/>
      <c r="U34" s="74"/>
    </row>
    <row r="35" spans="2:21" s="15" customFormat="1" x14ac:dyDescent="0.25">
      <c r="B35" s="72" t="s">
        <v>3225</v>
      </c>
      <c r="C35" s="73"/>
      <c r="D35" s="73"/>
      <c r="E35" s="73"/>
      <c r="F35" s="73"/>
      <c r="G35" s="73"/>
      <c r="H35" s="73"/>
      <c r="I35" s="73"/>
      <c r="J35" s="73"/>
      <c r="K35" s="73"/>
      <c r="L35" s="73"/>
      <c r="M35" s="73"/>
      <c r="N35" s="73"/>
      <c r="O35" s="73"/>
      <c r="P35" s="73"/>
      <c r="Q35" s="73"/>
      <c r="R35" s="73"/>
      <c r="S35" s="73"/>
      <c r="T35" s="73"/>
      <c r="U35" s="74"/>
    </row>
    <row r="36" spans="2:21" s="15" customFormat="1" x14ac:dyDescent="0.25">
      <c r="B36" s="72" t="s">
        <v>3226</v>
      </c>
      <c r="C36" s="73"/>
      <c r="D36" s="73"/>
      <c r="E36" s="73"/>
      <c r="F36" s="73"/>
      <c r="G36" s="73"/>
      <c r="H36" s="73"/>
      <c r="I36" s="73"/>
      <c r="J36" s="73"/>
      <c r="K36" s="73"/>
      <c r="L36" s="73"/>
      <c r="M36" s="73"/>
      <c r="N36" s="73"/>
      <c r="O36" s="73"/>
      <c r="P36" s="73"/>
      <c r="Q36" s="73"/>
      <c r="R36" s="73"/>
      <c r="S36" s="73"/>
      <c r="T36" s="73"/>
      <c r="U36" s="74"/>
    </row>
    <row r="37" spans="2:21" s="15" customFormat="1" x14ac:dyDescent="0.25">
      <c r="B37" s="72" t="s">
        <v>3070</v>
      </c>
      <c r="C37" s="73"/>
      <c r="D37" s="73"/>
      <c r="E37" s="73"/>
      <c r="F37" s="73"/>
      <c r="G37" s="73"/>
      <c r="H37" s="73"/>
      <c r="I37" s="73"/>
      <c r="J37" s="73"/>
      <c r="K37" s="73"/>
      <c r="L37" s="73"/>
      <c r="M37" s="73"/>
      <c r="N37" s="73"/>
      <c r="O37" s="73"/>
      <c r="P37" s="73"/>
      <c r="Q37" s="73"/>
      <c r="R37" s="73"/>
      <c r="S37" s="73"/>
      <c r="T37" s="73"/>
      <c r="U37" s="74"/>
    </row>
    <row r="38" spans="2:21" s="15" customFormat="1" x14ac:dyDescent="0.25">
      <c r="B38" s="72" t="s">
        <v>3071</v>
      </c>
      <c r="C38" s="73"/>
      <c r="D38" s="73"/>
      <c r="E38" s="73"/>
      <c r="F38" s="73"/>
      <c r="G38" s="73"/>
      <c r="H38" s="73"/>
      <c r="I38" s="73"/>
      <c r="J38" s="73"/>
      <c r="K38" s="73"/>
      <c r="L38" s="73"/>
      <c r="M38" s="73"/>
      <c r="N38" s="73"/>
      <c r="O38" s="73"/>
      <c r="P38" s="73"/>
      <c r="Q38" s="73"/>
      <c r="R38" s="73"/>
      <c r="S38" s="73"/>
      <c r="T38" s="73"/>
      <c r="U38" s="74"/>
    </row>
    <row r="39" spans="2:21" s="15" customFormat="1" x14ac:dyDescent="0.25">
      <c r="B39" s="72" t="s">
        <v>3072</v>
      </c>
      <c r="C39" s="73"/>
      <c r="D39" s="73"/>
      <c r="E39" s="73"/>
      <c r="F39" s="73"/>
      <c r="G39" s="73"/>
      <c r="H39" s="73"/>
      <c r="I39" s="73"/>
      <c r="J39" s="73"/>
      <c r="K39" s="73"/>
      <c r="L39" s="73"/>
      <c r="M39" s="73"/>
      <c r="N39" s="73"/>
      <c r="O39" s="73"/>
      <c r="P39" s="73"/>
      <c r="Q39" s="73"/>
      <c r="R39" s="73"/>
      <c r="S39" s="73"/>
      <c r="T39" s="73"/>
      <c r="U39" s="74"/>
    </row>
    <row r="40" spans="2:21" s="15" customFormat="1" x14ac:dyDescent="0.25">
      <c r="B40" s="72" t="s">
        <v>3227</v>
      </c>
      <c r="C40" s="73"/>
      <c r="D40" s="73"/>
      <c r="E40" s="73"/>
      <c r="F40" s="73"/>
      <c r="G40" s="73"/>
      <c r="H40" s="73"/>
      <c r="I40" s="73"/>
      <c r="J40" s="73"/>
      <c r="K40" s="73"/>
      <c r="L40" s="73"/>
      <c r="M40" s="73"/>
      <c r="N40" s="73"/>
      <c r="O40" s="73"/>
      <c r="P40" s="73"/>
      <c r="Q40" s="73"/>
      <c r="R40" s="73"/>
      <c r="S40" s="73"/>
      <c r="T40" s="73"/>
      <c r="U40" s="74"/>
    </row>
    <row r="41" spans="2:21" s="15" customFormat="1" x14ac:dyDescent="0.25">
      <c r="B41" s="72" t="s">
        <v>3074</v>
      </c>
      <c r="C41" s="73"/>
      <c r="D41" s="73"/>
      <c r="E41" s="73"/>
      <c r="F41" s="73"/>
      <c r="G41" s="73"/>
      <c r="H41" s="73"/>
      <c r="I41" s="73"/>
      <c r="J41" s="73"/>
      <c r="K41" s="73"/>
      <c r="L41" s="73"/>
      <c r="M41" s="73"/>
      <c r="N41" s="73"/>
      <c r="O41" s="73"/>
      <c r="P41" s="73"/>
      <c r="Q41" s="73"/>
      <c r="R41" s="73"/>
      <c r="S41" s="73"/>
      <c r="T41" s="73"/>
      <c r="U41" s="74"/>
    </row>
    <row r="42" spans="2:21" s="15" customFormat="1" x14ac:dyDescent="0.25">
      <c r="B42" s="72" t="s">
        <v>3075</v>
      </c>
      <c r="C42" s="73"/>
      <c r="D42" s="73"/>
      <c r="E42" s="73"/>
      <c r="F42" s="73"/>
      <c r="G42" s="73"/>
      <c r="H42" s="73"/>
      <c r="I42" s="73"/>
      <c r="J42" s="73"/>
      <c r="K42" s="73"/>
      <c r="L42" s="73"/>
      <c r="M42" s="73"/>
      <c r="N42" s="73"/>
      <c r="O42" s="73"/>
      <c r="P42" s="73"/>
      <c r="Q42" s="73"/>
      <c r="R42" s="73"/>
      <c r="S42" s="73"/>
      <c r="T42" s="73"/>
      <c r="U42" s="74"/>
    </row>
    <row r="43" spans="2:21" s="15" customFormat="1" x14ac:dyDescent="0.25">
      <c r="B43" s="72" t="s">
        <v>3076</v>
      </c>
      <c r="C43" s="73"/>
      <c r="D43" s="73"/>
      <c r="E43" s="73"/>
      <c r="F43" s="73"/>
      <c r="G43" s="73"/>
      <c r="H43" s="73"/>
      <c r="I43" s="73"/>
      <c r="J43" s="73"/>
      <c r="K43" s="73"/>
      <c r="L43" s="73"/>
      <c r="M43" s="73"/>
      <c r="N43" s="73"/>
      <c r="O43" s="73"/>
      <c r="P43" s="73"/>
      <c r="Q43" s="73"/>
      <c r="R43" s="73"/>
      <c r="S43" s="73"/>
      <c r="T43" s="73"/>
      <c r="U43" s="74"/>
    </row>
    <row r="44" spans="2:21" s="15" customFormat="1" x14ac:dyDescent="0.25">
      <c r="B44" s="72" t="s">
        <v>3077</v>
      </c>
      <c r="C44" s="73"/>
      <c r="D44" s="73"/>
      <c r="E44" s="73"/>
      <c r="F44" s="73"/>
      <c r="G44" s="73"/>
      <c r="H44" s="73"/>
      <c r="I44" s="73"/>
      <c r="J44" s="73"/>
      <c r="K44" s="73"/>
      <c r="L44" s="73"/>
      <c r="M44" s="73"/>
      <c r="N44" s="73"/>
      <c r="O44" s="73"/>
      <c r="P44" s="73"/>
      <c r="Q44" s="73"/>
      <c r="R44" s="73"/>
      <c r="S44" s="73"/>
      <c r="T44" s="73"/>
      <c r="U44" s="74"/>
    </row>
    <row r="45" spans="2:21" s="15" customFormat="1" x14ac:dyDescent="0.25">
      <c r="B45" s="72" t="s">
        <v>3228</v>
      </c>
      <c r="C45" s="73"/>
      <c r="D45" s="73"/>
      <c r="E45" s="73"/>
      <c r="F45" s="73"/>
      <c r="G45" s="73"/>
      <c r="H45" s="73"/>
      <c r="I45" s="73"/>
      <c r="J45" s="73"/>
      <c r="K45" s="73"/>
      <c r="L45" s="73"/>
      <c r="M45" s="73"/>
      <c r="N45" s="73"/>
      <c r="O45" s="73"/>
      <c r="P45" s="73"/>
      <c r="Q45" s="73"/>
      <c r="R45" s="73"/>
      <c r="S45" s="73"/>
      <c r="T45" s="73"/>
      <c r="U45" s="74"/>
    </row>
    <row r="46" spans="2:21" s="15" customFormat="1" x14ac:dyDescent="0.25">
      <c r="B46" s="72" t="s">
        <v>3229</v>
      </c>
      <c r="C46" s="73"/>
      <c r="D46" s="73"/>
      <c r="E46" s="73"/>
      <c r="F46" s="73"/>
      <c r="G46" s="73"/>
      <c r="H46" s="73"/>
      <c r="I46" s="73"/>
      <c r="J46" s="73"/>
      <c r="K46" s="73"/>
      <c r="L46" s="73"/>
      <c r="M46" s="73"/>
      <c r="N46" s="73"/>
      <c r="O46" s="73"/>
      <c r="P46" s="73"/>
      <c r="Q46" s="73"/>
      <c r="R46" s="73"/>
      <c r="S46" s="73"/>
      <c r="T46" s="73"/>
      <c r="U46" s="74"/>
    </row>
    <row r="47" spans="2:21" s="15" customFormat="1" x14ac:dyDescent="0.25">
      <c r="B47" s="72" t="s">
        <v>3080</v>
      </c>
      <c r="C47" s="73"/>
      <c r="D47" s="73"/>
      <c r="E47" s="73"/>
      <c r="F47" s="73"/>
      <c r="G47" s="73"/>
      <c r="H47" s="73"/>
      <c r="I47" s="73"/>
      <c r="J47" s="73"/>
      <c r="K47" s="73"/>
      <c r="L47" s="73"/>
      <c r="M47" s="73"/>
      <c r="N47" s="73"/>
      <c r="O47" s="73"/>
      <c r="P47" s="73"/>
      <c r="Q47" s="73"/>
      <c r="R47" s="73"/>
      <c r="S47" s="73"/>
      <c r="T47" s="73"/>
      <c r="U47" s="74"/>
    </row>
    <row r="48" spans="2:21" s="15" customFormat="1" x14ac:dyDescent="0.25">
      <c r="B48" s="72" t="s">
        <v>3081</v>
      </c>
      <c r="C48" s="73"/>
      <c r="D48" s="73"/>
      <c r="E48" s="73"/>
      <c r="F48" s="73"/>
      <c r="G48" s="73"/>
      <c r="H48" s="73"/>
      <c r="I48" s="73"/>
      <c r="J48" s="73"/>
      <c r="K48" s="73"/>
      <c r="L48" s="73"/>
      <c r="M48" s="73"/>
      <c r="N48" s="73"/>
      <c r="O48" s="73"/>
      <c r="P48" s="73"/>
      <c r="Q48" s="73"/>
      <c r="R48" s="73"/>
      <c r="S48" s="73"/>
      <c r="T48" s="73"/>
      <c r="U48" s="74"/>
    </row>
    <row r="49" spans="2:21" s="15" customFormat="1" x14ac:dyDescent="0.25">
      <c r="B49" s="72" t="s">
        <v>3082</v>
      </c>
      <c r="C49" s="73"/>
      <c r="D49" s="73"/>
      <c r="E49" s="73"/>
      <c r="F49" s="73"/>
      <c r="G49" s="73"/>
      <c r="H49" s="73"/>
      <c r="I49" s="73"/>
      <c r="J49" s="73"/>
      <c r="K49" s="73"/>
      <c r="L49" s="73"/>
      <c r="M49" s="73"/>
      <c r="N49" s="73"/>
      <c r="O49" s="73"/>
      <c r="P49" s="73"/>
      <c r="Q49" s="73"/>
      <c r="R49" s="73"/>
      <c r="S49" s="73"/>
      <c r="T49" s="73"/>
      <c r="U49" s="74"/>
    </row>
    <row r="50" spans="2:21" s="15" customFormat="1" x14ac:dyDescent="0.25">
      <c r="B50" s="72" t="s">
        <v>3083</v>
      </c>
      <c r="C50" s="73"/>
      <c r="D50" s="73"/>
      <c r="E50" s="73"/>
      <c r="F50" s="73"/>
      <c r="G50" s="73"/>
      <c r="H50" s="73"/>
      <c r="I50" s="73"/>
      <c r="J50" s="73"/>
      <c r="K50" s="73"/>
      <c r="L50" s="73"/>
      <c r="M50" s="73"/>
      <c r="N50" s="73"/>
      <c r="O50" s="73"/>
      <c r="P50" s="73"/>
      <c r="Q50" s="73"/>
      <c r="R50" s="73"/>
      <c r="S50" s="73"/>
      <c r="T50" s="73"/>
      <c r="U50" s="74"/>
    </row>
    <row r="51" spans="2:21" s="15" customFormat="1" x14ac:dyDescent="0.25">
      <c r="B51" s="72" t="s">
        <v>3058</v>
      </c>
      <c r="C51" s="73"/>
      <c r="D51" s="73"/>
      <c r="E51" s="73"/>
      <c r="F51" s="73"/>
      <c r="G51" s="73"/>
      <c r="H51" s="73"/>
      <c r="I51" s="73"/>
      <c r="J51" s="73"/>
      <c r="K51" s="73"/>
      <c r="L51" s="73"/>
      <c r="M51" s="73"/>
      <c r="N51" s="73"/>
      <c r="O51" s="73"/>
      <c r="P51" s="73"/>
      <c r="Q51" s="73"/>
      <c r="R51" s="73"/>
      <c r="S51" s="73"/>
      <c r="T51" s="73"/>
      <c r="U51" s="74"/>
    </row>
    <row r="52" spans="2:21" s="15" customFormat="1" x14ac:dyDescent="0.25">
      <c r="B52" s="72" t="s">
        <v>3084</v>
      </c>
      <c r="C52" s="73"/>
      <c r="D52" s="73"/>
      <c r="E52" s="73"/>
      <c r="F52" s="73"/>
      <c r="G52" s="73"/>
      <c r="H52" s="73"/>
      <c r="I52" s="73"/>
      <c r="J52" s="73"/>
      <c r="K52" s="73"/>
      <c r="L52" s="73"/>
      <c r="M52" s="73"/>
      <c r="N52" s="73"/>
      <c r="O52" s="73"/>
      <c r="P52" s="73"/>
      <c r="Q52" s="73"/>
      <c r="R52" s="73"/>
      <c r="S52" s="73"/>
      <c r="T52" s="73"/>
      <c r="U52" s="74"/>
    </row>
    <row r="53" spans="2:21" s="15" customFormat="1" x14ac:dyDescent="0.25">
      <c r="B53" s="72" t="s">
        <v>3085</v>
      </c>
      <c r="C53" s="73"/>
      <c r="D53" s="73"/>
      <c r="E53" s="73"/>
      <c r="F53" s="73"/>
      <c r="G53" s="73"/>
      <c r="H53" s="73"/>
      <c r="I53" s="73"/>
      <c r="J53" s="73"/>
      <c r="K53" s="73"/>
      <c r="L53" s="73"/>
      <c r="M53" s="73"/>
      <c r="N53" s="73"/>
      <c r="O53" s="73"/>
      <c r="P53" s="73"/>
      <c r="Q53" s="73"/>
      <c r="R53" s="73"/>
      <c r="S53" s="73"/>
      <c r="T53" s="73"/>
      <c r="U53" s="74"/>
    </row>
    <row r="54" spans="2:21" s="15" customFormat="1" x14ac:dyDescent="0.25">
      <c r="B54" s="72" t="s">
        <v>3086</v>
      </c>
      <c r="C54" s="73"/>
      <c r="D54" s="73"/>
      <c r="E54" s="73"/>
      <c r="F54" s="73"/>
      <c r="G54" s="73"/>
      <c r="H54" s="73"/>
      <c r="I54" s="73"/>
      <c r="J54" s="73"/>
      <c r="K54" s="73"/>
      <c r="L54" s="73"/>
      <c r="M54" s="73"/>
      <c r="N54" s="73"/>
      <c r="O54" s="73"/>
      <c r="P54" s="73"/>
      <c r="Q54" s="73"/>
      <c r="R54" s="73"/>
      <c r="S54" s="73"/>
      <c r="T54" s="73"/>
      <c r="U54" s="74"/>
    </row>
    <row r="55" spans="2:21" s="15" customFormat="1" x14ac:dyDescent="0.25">
      <c r="B55" s="72" t="s">
        <v>3230</v>
      </c>
      <c r="C55" s="73"/>
      <c r="D55" s="73"/>
      <c r="E55" s="73"/>
      <c r="F55" s="73"/>
      <c r="G55" s="73"/>
      <c r="H55" s="73"/>
      <c r="I55" s="73"/>
      <c r="J55" s="73"/>
      <c r="K55" s="73"/>
      <c r="L55" s="73"/>
      <c r="M55" s="73"/>
      <c r="N55" s="73"/>
      <c r="O55" s="73"/>
      <c r="P55" s="73"/>
      <c r="Q55" s="73"/>
      <c r="R55" s="73"/>
      <c r="S55" s="73"/>
      <c r="T55" s="73"/>
      <c r="U55" s="74"/>
    </row>
    <row r="56" spans="2:21" s="15" customFormat="1" x14ac:dyDescent="0.25">
      <c r="B56" s="72" t="s">
        <v>3231</v>
      </c>
      <c r="C56" s="73"/>
      <c r="D56" s="73"/>
      <c r="E56" s="73"/>
      <c r="F56" s="73"/>
      <c r="G56" s="73"/>
      <c r="H56" s="73"/>
      <c r="I56" s="73"/>
      <c r="J56" s="73"/>
      <c r="K56" s="73"/>
      <c r="L56" s="73"/>
      <c r="M56" s="73"/>
      <c r="N56" s="73"/>
      <c r="O56" s="73"/>
      <c r="P56" s="73"/>
      <c r="Q56" s="73"/>
      <c r="R56" s="73"/>
      <c r="S56" s="73"/>
      <c r="T56" s="73"/>
      <c r="U56" s="74"/>
    </row>
    <row r="57" spans="2:21" s="15" customFormat="1" x14ac:dyDescent="0.25">
      <c r="B57" s="72" t="s">
        <v>3232</v>
      </c>
      <c r="C57" s="73"/>
      <c r="D57" s="73"/>
      <c r="E57" s="73"/>
      <c r="F57" s="73"/>
      <c r="G57" s="73"/>
      <c r="H57" s="73"/>
      <c r="I57" s="73"/>
      <c r="J57" s="73"/>
      <c r="K57" s="73"/>
      <c r="L57" s="73"/>
      <c r="M57" s="73"/>
      <c r="N57" s="73"/>
      <c r="O57" s="73"/>
      <c r="P57" s="73"/>
      <c r="Q57" s="73"/>
      <c r="R57" s="73"/>
      <c r="S57" s="73"/>
      <c r="T57" s="73"/>
      <c r="U57" s="74"/>
    </row>
    <row r="58" spans="2:21" s="15" customFormat="1" x14ac:dyDescent="0.25">
      <c r="B58" s="72" t="s">
        <v>3233</v>
      </c>
      <c r="C58" s="73"/>
      <c r="D58" s="73"/>
      <c r="E58" s="73"/>
      <c r="F58" s="73"/>
      <c r="G58" s="73"/>
      <c r="H58" s="73"/>
      <c r="I58" s="73"/>
      <c r="J58" s="73"/>
      <c r="K58" s="73"/>
      <c r="L58" s="73"/>
      <c r="M58" s="73"/>
      <c r="N58" s="73"/>
      <c r="O58" s="73"/>
      <c r="P58" s="73"/>
      <c r="Q58" s="73"/>
      <c r="R58" s="73"/>
      <c r="S58" s="73"/>
      <c r="T58" s="73"/>
      <c r="U58" s="74"/>
    </row>
    <row r="59" spans="2:21" s="15" customFormat="1" x14ac:dyDescent="0.25">
      <c r="B59" s="72" t="s">
        <v>3234</v>
      </c>
      <c r="C59" s="73"/>
      <c r="D59" s="73"/>
      <c r="E59" s="73"/>
      <c r="F59" s="73"/>
      <c r="G59" s="73"/>
      <c r="H59" s="73"/>
      <c r="I59" s="73"/>
      <c r="J59" s="73"/>
      <c r="K59" s="73"/>
      <c r="L59" s="73"/>
      <c r="M59" s="73"/>
      <c r="N59" s="73"/>
      <c r="O59" s="73"/>
      <c r="P59" s="73"/>
      <c r="Q59" s="73"/>
      <c r="R59" s="73"/>
      <c r="S59" s="73"/>
      <c r="T59" s="73"/>
      <c r="U59" s="74"/>
    </row>
    <row r="60" spans="2:21" s="15" customFormat="1" x14ac:dyDescent="0.25">
      <c r="B60" s="72" t="s">
        <v>3083</v>
      </c>
      <c r="C60" s="73"/>
      <c r="D60" s="73"/>
      <c r="E60" s="73"/>
      <c r="F60" s="73"/>
      <c r="G60" s="73"/>
      <c r="H60" s="73"/>
      <c r="I60" s="73"/>
      <c r="J60" s="73"/>
      <c r="K60" s="73"/>
      <c r="L60" s="73"/>
      <c r="M60" s="73"/>
      <c r="N60" s="73"/>
      <c r="O60" s="73"/>
      <c r="P60" s="73"/>
      <c r="Q60" s="73"/>
      <c r="R60" s="73"/>
      <c r="S60" s="73"/>
      <c r="T60" s="73"/>
      <c r="U60" s="74"/>
    </row>
    <row r="61" spans="2:21" s="15" customFormat="1" x14ac:dyDescent="0.25">
      <c r="B61" s="72" t="s">
        <v>3093</v>
      </c>
      <c r="C61" s="73"/>
      <c r="D61" s="73"/>
      <c r="E61" s="73"/>
      <c r="F61" s="73"/>
      <c r="G61" s="73"/>
      <c r="H61" s="73"/>
      <c r="I61" s="73"/>
      <c r="J61" s="73"/>
      <c r="K61" s="73"/>
      <c r="L61" s="73"/>
      <c r="M61" s="73"/>
      <c r="N61" s="73"/>
      <c r="O61" s="73"/>
      <c r="P61" s="73"/>
      <c r="Q61" s="73"/>
      <c r="R61" s="73"/>
      <c r="S61" s="73"/>
      <c r="T61" s="73"/>
      <c r="U61" s="74"/>
    </row>
    <row r="62" spans="2:21" s="15" customFormat="1" x14ac:dyDescent="0.25">
      <c r="B62" s="72" t="s">
        <v>3094</v>
      </c>
      <c r="C62" s="73"/>
      <c r="D62" s="73"/>
      <c r="E62" s="73"/>
      <c r="F62" s="73"/>
      <c r="G62" s="73"/>
      <c r="H62" s="73"/>
      <c r="I62" s="73"/>
      <c r="J62" s="73"/>
      <c r="K62" s="73"/>
      <c r="L62" s="73"/>
      <c r="M62" s="73"/>
      <c r="N62" s="73"/>
      <c r="O62" s="73"/>
      <c r="P62" s="73"/>
      <c r="Q62" s="73"/>
      <c r="R62" s="73"/>
      <c r="S62" s="73"/>
      <c r="T62" s="73"/>
      <c r="U62" s="74"/>
    </row>
    <row r="63" spans="2:21" s="15" customFormat="1" x14ac:dyDescent="0.25">
      <c r="B63" s="72" t="s">
        <v>3095</v>
      </c>
      <c r="C63" s="73"/>
      <c r="D63" s="73"/>
      <c r="E63" s="73"/>
      <c r="F63" s="73"/>
      <c r="G63" s="73"/>
      <c r="H63" s="73"/>
      <c r="I63" s="73"/>
      <c r="J63" s="73"/>
      <c r="K63" s="73"/>
      <c r="L63" s="73"/>
      <c r="M63" s="73"/>
      <c r="N63" s="73"/>
      <c r="O63" s="73"/>
      <c r="P63" s="73"/>
      <c r="Q63" s="73"/>
      <c r="R63" s="73"/>
      <c r="S63" s="73"/>
      <c r="T63" s="73"/>
      <c r="U63" s="74"/>
    </row>
    <row r="64" spans="2:21" s="15" customFormat="1" x14ac:dyDescent="0.25">
      <c r="B64" s="72" t="s">
        <v>3096</v>
      </c>
      <c r="C64" s="73"/>
      <c r="D64" s="73"/>
      <c r="E64" s="73"/>
      <c r="F64" s="73"/>
      <c r="G64" s="73"/>
      <c r="H64" s="73"/>
      <c r="I64" s="73"/>
      <c r="J64" s="73"/>
      <c r="K64" s="73"/>
      <c r="L64" s="73"/>
      <c r="M64" s="73"/>
      <c r="N64" s="73"/>
      <c r="O64" s="73"/>
      <c r="P64" s="73"/>
      <c r="Q64" s="73"/>
      <c r="R64" s="73"/>
      <c r="S64" s="73"/>
      <c r="T64" s="73"/>
      <c r="U64" s="74"/>
    </row>
    <row r="65" spans="2:21" s="15" customFormat="1" x14ac:dyDescent="0.25">
      <c r="B65" s="72" t="s">
        <v>3097</v>
      </c>
      <c r="C65" s="73"/>
      <c r="D65" s="73"/>
      <c r="E65" s="73"/>
      <c r="F65" s="73"/>
      <c r="G65" s="73"/>
      <c r="H65" s="73"/>
      <c r="I65" s="73"/>
      <c r="J65" s="73"/>
      <c r="K65" s="73"/>
      <c r="L65" s="73"/>
      <c r="M65" s="73"/>
      <c r="N65" s="73"/>
      <c r="O65" s="73"/>
      <c r="P65" s="73"/>
      <c r="Q65" s="73"/>
      <c r="R65" s="73"/>
      <c r="S65" s="73"/>
      <c r="T65" s="73"/>
      <c r="U65" s="74"/>
    </row>
    <row r="66" spans="2:21" s="15" customFormat="1" x14ac:dyDescent="0.25">
      <c r="B66" s="72" t="s">
        <v>3098</v>
      </c>
      <c r="C66" s="73"/>
      <c r="D66" s="73"/>
      <c r="E66" s="73"/>
      <c r="F66" s="73"/>
      <c r="G66" s="73"/>
      <c r="H66" s="73"/>
      <c r="I66" s="73"/>
      <c r="J66" s="73"/>
      <c r="K66" s="73"/>
      <c r="L66" s="73"/>
      <c r="M66" s="73"/>
      <c r="N66" s="73"/>
      <c r="O66" s="73"/>
      <c r="P66" s="73"/>
      <c r="Q66" s="73"/>
      <c r="R66" s="73"/>
      <c r="S66" s="73"/>
      <c r="T66" s="73"/>
      <c r="U66" s="74"/>
    </row>
    <row r="67" spans="2:21" s="15" customFormat="1" x14ac:dyDescent="0.25">
      <c r="B67" s="72" t="s">
        <v>3099</v>
      </c>
      <c r="C67" s="73"/>
      <c r="D67" s="73"/>
      <c r="E67" s="73"/>
      <c r="F67" s="73"/>
      <c r="G67" s="73"/>
      <c r="H67" s="73"/>
      <c r="I67" s="73"/>
      <c r="J67" s="73"/>
      <c r="K67" s="73"/>
      <c r="L67" s="73"/>
      <c r="M67" s="73"/>
      <c r="N67" s="73"/>
      <c r="O67" s="73"/>
      <c r="P67" s="73"/>
      <c r="Q67" s="73"/>
      <c r="R67" s="73"/>
      <c r="S67" s="73"/>
      <c r="T67" s="73"/>
      <c r="U67" s="74"/>
    </row>
    <row r="68" spans="2:21" s="15" customFormat="1" x14ac:dyDescent="0.25">
      <c r="B68" s="72" t="s">
        <v>3100</v>
      </c>
      <c r="C68" s="73"/>
      <c r="D68" s="73"/>
      <c r="E68" s="73"/>
      <c r="F68" s="73"/>
      <c r="G68" s="73"/>
      <c r="H68" s="73"/>
      <c r="I68" s="73"/>
      <c r="J68" s="73"/>
      <c r="K68" s="73"/>
      <c r="L68" s="73"/>
      <c r="M68" s="73"/>
      <c r="N68" s="73"/>
      <c r="O68" s="73"/>
      <c r="P68" s="73"/>
      <c r="Q68" s="73"/>
      <c r="R68" s="73"/>
      <c r="S68" s="73"/>
      <c r="T68" s="73"/>
      <c r="U68" s="74"/>
    </row>
    <row r="69" spans="2:21" s="15" customFormat="1" x14ac:dyDescent="0.25">
      <c r="B69" s="72" t="s">
        <v>3235</v>
      </c>
      <c r="C69" s="73"/>
      <c r="D69" s="73"/>
      <c r="E69" s="73"/>
      <c r="F69" s="73"/>
      <c r="G69" s="73"/>
      <c r="H69" s="73"/>
      <c r="I69" s="73"/>
      <c r="J69" s="73"/>
      <c r="K69" s="73"/>
      <c r="L69" s="73"/>
      <c r="M69" s="73"/>
      <c r="N69" s="73"/>
      <c r="O69" s="73"/>
      <c r="P69" s="73"/>
      <c r="Q69" s="73"/>
      <c r="R69" s="73"/>
      <c r="S69" s="73"/>
      <c r="T69" s="73"/>
      <c r="U69" s="74"/>
    </row>
    <row r="70" spans="2:21" s="15" customFormat="1" x14ac:dyDescent="0.25">
      <c r="B70" s="72" t="s">
        <v>3102</v>
      </c>
      <c r="C70" s="73"/>
      <c r="D70" s="73"/>
      <c r="E70" s="73"/>
      <c r="F70" s="73"/>
      <c r="G70" s="73"/>
      <c r="H70" s="73"/>
      <c r="I70" s="73"/>
      <c r="J70" s="73"/>
      <c r="K70" s="73"/>
      <c r="L70" s="73"/>
      <c r="M70" s="73"/>
      <c r="N70" s="73"/>
      <c r="O70" s="73"/>
      <c r="P70" s="73"/>
      <c r="Q70" s="73"/>
      <c r="R70" s="73"/>
      <c r="S70" s="73"/>
      <c r="T70" s="73"/>
      <c r="U70" s="74"/>
    </row>
    <row r="71" spans="2:21" s="15" customFormat="1" x14ac:dyDescent="0.25">
      <c r="B71" s="72" t="s">
        <v>3103</v>
      </c>
      <c r="C71" s="73"/>
      <c r="D71" s="73"/>
      <c r="E71" s="73"/>
      <c r="F71" s="73"/>
      <c r="G71" s="73"/>
      <c r="H71" s="73"/>
      <c r="I71" s="73"/>
      <c r="J71" s="73"/>
      <c r="K71" s="73"/>
      <c r="L71" s="73"/>
      <c r="M71" s="73"/>
      <c r="N71" s="73"/>
      <c r="O71" s="73"/>
      <c r="P71" s="73"/>
      <c r="Q71" s="73"/>
      <c r="R71" s="73"/>
      <c r="S71" s="73"/>
      <c r="T71" s="73"/>
      <c r="U71" s="74"/>
    </row>
    <row r="72" spans="2:21" s="15" customFormat="1" x14ac:dyDescent="0.25">
      <c r="B72" s="72" t="s">
        <v>3105</v>
      </c>
      <c r="C72" s="73"/>
      <c r="D72" s="73"/>
      <c r="E72" s="73"/>
      <c r="F72" s="73"/>
      <c r="G72" s="73"/>
      <c r="H72" s="73"/>
      <c r="I72" s="73"/>
      <c r="J72" s="73"/>
      <c r="K72" s="73"/>
      <c r="L72" s="73"/>
      <c r="M72" s="73"/>
      <c r="N72" s="73"/>
      <c r="O72" s="73"/>
      <c r="P72" s="73"/>
      <c r="Q72" s="73"/>
      <c r="R72" s="73"/>
      <c r="S72" s="73"/>
      <c r="T72" s="73"/>
      <c r="U72" s="74"/>
    </row>
    <row r="73" spans="2:21" s="15" customFormat="1" x14ac:dyDescent="0.25">
      <c r="B73" s="72" t="s">
        <v>3106</v>
      </c>
      <c r="C73" s="73"/>
      <c r="D73" s="73"/>
      <c r="E73" s="73"/>
      <c r="F73" s="73"/>
      <c r="G73" s="73"/>
      <c r="H73" s="73"/>
      <c r="I73" s="73"/>
      <c r="J73" s="73"/>
      <c r="K73" s="73"/>
      <c r="L73" s="73"/>
      <c r="M73" s="73"/>
      <c r="N73" s="73"/>
      <c r="O73" s="73"/>
      <c r="P73" s="73"/>
      <c r="Q73" s="73"/>
      <c r="R73" s="73"/>
      <c r="S73" s="73"/>
      <c r="T73" s="73"/>
      <c r="U73" s="74"/>
    </row>
    <row r="74" spans="2:21" s="15" customFormat="1" x14ac:dyDescent="0.25">
      <c r="B74" s="72" t="s">
        <v>3236</v>
      </c>
      <c r="C74" s="73"/>
      <c r="D74" s="73"/>
      <c r="E74" s="73"/>
      <c r="F74" s="73"/>
      <c r="G74" s="73"/>
      <c r="H74" s="73"/>
      <c r="I74" s="73"/>
      <c r="J74" s="73"/>
      <c r="K74" s="73"/>
      <c r="L74" s="73"/>
      <c r="M74" s="73"/>
      <c r="N74" s="73"/>
      <c r="O74" s="73"/>
      <c r="P74" s="73"/>
      <c r="Q74" s="73"/>
      <c r="R74" s="73"/>
      <c r="S74" s="73"/>
      <c r="T74" s="73"/>
      <c r="U74" s="74"/>
    </row>
    <row r="75" spans="2:21" s="15" customFormat="1" x14ac:dyDescent="0.25">
      <c r="B75" s="72" t="s">
        <v>3237</v>
      </c>
      <c r="C75" s="73"/>
      <c r="D75" s="73"/>
      <c r="E75" s="73"/>
      <c r="F75" s="73"/>
      <c r="G75" s="73"/>
      <c r="H75" s="73"/>
      <c r="I75" s="73"/>
      <c r="J75" s="73"/>
      <c r="K75" s="73"/>
      <c r="L75" s="73"/>
      <c r="M75" s="73"/>
      <c r="N75" s="73"/>
      <c r="O75" s="73"/>
      <c r="P75" s="73"/>
      <c r="Q75" s="73"/>
      <c r="R75" s="73"/>
      <c r="S75" s="73"/>
      <c r="T75" s="73"/>
      <c r="U75" s="74"/>
    </row>
    <row r="76" spans="2:21" s="15" customFormat="1" x14ac:dyDescent="0.25">
      <c r="B76" s="72" t="s">
        <v>3238</v>
      </c>
      <c r="C76" s="73"/>
      <c r="D76" s="73"/>
      <c r="E76" s="73"/>
      <c r="F76" s="73"/>
      <c r="G76" s="73"/>
      <c r="H76" s="73"/>
      <c r="I76" s="73"/>
      <c r="J76" s="73"/>
      <c r="K76" s="73"/>
      <c r="L76" s="73"/>
      <c r="M76" s="73"/>
      <c r="N76" s="73"/>
      <c r="O76" s="73"/>
      <c r="P76" s="73"/>
      <c r="Q76" s="73"/>
      <c r="R76" s="73"/>
      <c r="S76" s="73"/>
      <c r="T76" s="73"/>
      <c r="U76" s="74"/>
    </row>
    <row r="77" spans="2:21" s="15" customFormat="1" x14ac:dyDescent="0.25">
      <c r="B77" s="72" t="s">
        <v>3239</v>
      </c>
      <c r="C77" s="73"/>
      <c r="D77" s="73"/>
      <c r="E77" s="73"/>
      <c r="F77" s="73"/>
      <c r="G77" s="73"/>
      <c r="H77" s="73"/>
      <c r="I77" s="73"/>
      <c r="J77" s="73"/>
      <c r="K77" s="73"/>
      <c r="L77" s="73"/>
      <c r="M77" s="73"/>
      <c r="N77" s="73"/>
      <c r="O77" s="73"/>
      <c r="P77" s="73"/>
      <c r="Q77" s="73"/>
      <c r="R77" s="73"/>
      <c r="S77" s="73"/>
      <c r="T77" s="73"/>
      <c r="U77" s="74"/>
    </row>
    <row r="78" spans="2:21" s="15" customFormat="1" x14ac:dyDescent="0.25">
      <c r="B78" s="72" t="s">
        <v>3240</v>
      </c>
      <c r="C78" s="73"/>
      <c r="D78" s="73"/>
      <c r="E78" s="73"/>
      <c r="F78" s="73"/>
      <c r="G78" s="73"/>
      <c r="H78" s="73"/>
      <c r="I78" s="73"/>
      <c r="J78" s="73"/>
      <c r="K78" s="73"/>
      <c r="L78" s="73"/>
      <c r="M78" s="73"/>
      <c r="N78" s="73"/>
      <c r="O78" s="73"/>
      <c r="P78" s="73"/>
      <c r="Q78" s="73"/>
      <c r="R78" s="73"/>
      <c r="S78" s="73"/>
      <c r="T78" s="73"/>
      <c r="U78" s="74"/>
    </row>
    <row r="79" spans="2:21" s="15" customFormat="1" x14ac:dyDescent="0.25">
      <c r="B79" s="72" t="s">
        <v>3241</v>
      </c>
      <c r="C79" s="73"/>
      <c r="D79" s="73"/>
      <c r="E79" s="73"/>
      <c r="F79" s="73"/>
      <c r="G79" s="73"/>
      <c r="H79" s="73"/>
      <c r="I79" s="73"/>
      <c r="J79" s="73"/>
      <c r="K79" s="73"/>
      <c r="L79" s="73"/>
      <c r="M79" s="73"/>
      <c r="N79" s="73"/>
      <c r="O79" s="73"/>
      <c r="P79" s="73"/>
      <c r="Q79" s="73"/>
      <c r="R79" s="73"/>
      <c r="S79" s="73"/>
      <c r="T79" s="73"/>
      <c r="U79" s="74"/>
    </row>
    <row r="80" spans="2:21" s="15" customFormat="1" x14ac:dyDescent="0.25">
      <c r="B80" s="72" t="s">
        <v>3242</v>
      </c>
      <c r="C80" s="73"/>
      <c r="D80" s="73"/>
      <c r="E80" s="73"/>
      <c r="F80" s="73"/>
      <c r="G80" s="73"/>
      <c r="H80" s="73"/>
      <c r="I80" s="73"/>
      <c r="J80" s="73"/>
      <c r="K80" s="73"/>
      <c r="L80" s="73"/>
      <c r="M80" s="73"/>
      <c r="N80" s="73"/>
      <c r="O80" s="73"/>
      <c r="P80" s="73"/>
      <c r="Q80" s="73"/>
      <c r="R80" s="73"/>
      <c r="S80" s="73"/>
      <c r="T80" s="73"/>
      <c r="U80" s="74"/>
    </row>
    <row r="81" spans="2:21" s="15" customFormat="1" x14ac:dyDescent="0.25">
      <c r="B81" s="72" t="s">
        <v>3243</v>
      </c>
      <c r="C81" s="73"/>
      <c r="D81" s="73"/>
      <c r="E81" s="73"/>
      <c r="F81" s="73"/>
      <c r="G81" s="73"/>
      <c r="H81" s="73"/>
      <c r="I81" s="73"/>
      <c r="J81" s="73"/>
      <c r="K81" s="73"/>
      <c r="L81" s="73"/>
      <c r="M81" s="73"/>
      <c r="N81" s="73"/>
      <c r="O81" s="73"/>
      <c r="P81" s="73"/>
      <c r="Q81" s="73"/>
      <c r="R81" s="73"/>
      <c r="S81" s="73"/>
      <c r="T81" s="73"/>
      <c r="U81" s="74"/>
    </row>
    <row r="82" spans="2:21" s="15" customFormat="1" x14ac:dyDescent="0.25">
      <c r="B82" s="72" t="s">
        <v>3244</v>
      </c>
      <c r="C82" s="73"/>
      <c r="D82" s="73"/>
      <c r="E82" s="73"/>
      <c r="F82" s="73"/>
      <c r="G82" s="73"/>
      <c r="H82" s="73"/>
      <c r="I82" s="73"/>
      <c r="J82" s="73"/>
      <c r="K82" s="73"/>
      <c r="L82" s="73"/>
      <c r="M82" s="73"/>
      <c r="N82" s="73"/>
      <c r="O82" s="73"/>
      <c r="P82" s="73"/>
      <c r="Q82" s="73"/>
      <c r="R82" s="73"/>
      <c r="S82" s="73"/>
      <c r="T82" s="73"/>
      <c r="U82" s="74"/>
    </row>
    <row r="83" spans="2:21" s="15" customFormat="1" x14ac:dyDescent="0.25">
      <c r="B83" s="72" t="s">
        <v>3245</v>
      </c>
      <c r="C83" s="73"/>
      <c r="D83" s="73"/>
      <c r="E83" s="73"/>
      <c r="F83" s="73"/>
      <c r="G83" s="73"/>
      <c r="H83" s="73"/>
      <c r="I83" s="73"/>
      <c r="J83" s="73"/>
      <c r="K83" s="73"/>
      <c r="L83" s="73"/>
      <c r="M83" s="73"/>
      <c r="N83" s="73"/>
      <c r="O83" s="73"/>
      <c r="P83" s="73"/>
      <c r="Q83" s="73"/>
      <c r="R83" s="73"/>
      <c r="S83" s="73"/>
      <c r="T83" s="73"/>
      <c r="U83" s="74"/>
    </row>
    <row r="84" spans="2:21" s="15" customFormat="1" x14ac:dyDescent="0.25">
      <c r="B84" s="72" t="s">
        <v>3246</v>
      </c>
      <c r="C84" s="73"/>
      <c r="D84" s="73"/>
      <c r="E84" s="73"/>
      <c r="F84" s="73"/>
      <c r="G84" s="73"/>
      <c r="H84" s="73"/>
      <c r="I84" s="73"/>
      <c r="J84" s="73"/>
      <c r="K84" s="73"/>
      <c r="L84" s="73"/>
      <c r="M84" s="73"/>
      <c r="N84" s="73"/>
      <c r="O84" s="73"/>
      <c r="P84" s="73"/>
      <c r="Q84" s="73"/>
      <c r="R84" s="73"/>
      <c r="S84" s="73"/>
      <c r="T84" s="73"/>
      <c r="U84" s="74"/>
    </row>
    <row r="85" spans="2:21" s="15" customFormat="1" x14ac:dyDescent="0.25">
      <c r="B85" s="72" t="s">
        <v>3121</v>
      </c>
      <c r="C85" s="73"/>
      <c r="D85" s="73"/>
      <c r="E85" s="73"/>
      <c r="F85" s="73"/>
      <c r="G85" s="73"/>
      <c r="H85" s="73"/>
      <c r="I85" s="73"/>
      <c r="J85" s="73"/>
      <c r="K85" s="73"/>
      <c r="L85" s="73"/>
      <c r="M85" s="73"/>
      <c r="N85" s="73"/>
      <c r="O85" s="73"/>
      <c r="P85" s="73"/>
      <c r="Q85" s="73"/>
      <c r="R85" s="73"/>
      <c r="S85" s="73"/>
      <c r="T85" s="73"/>
      <c r="U85" s="74"/>
    </row>
    <row r="86" spans="2:21" s="15" customFormat="1" x14ac:dyDescent="0.25">
      <c r="B86" s="72" t="s">
        <v>3058</v>
      </c>
      <c r="C86" s="73"/>
      <c r="D86" s="73"/>
      <c r="E86" s="73"/>
      <c r="F86" s="73"/>
      <c r="G86" s="73"/>
      <c r="H86" s="73"/>
      <c r="I86" s="73"/>
      <c r="J86" s="73"/>
      <c r="K86" s="73"/>
      <c r="L86" s="73"/>
      <c r="M86" s="73"/>
      <c r="N86" s="73"/>
      <c r="O86" s="73"/>
      <c r="P86" s="73"/>
      <c r="Q86" s="73"/>
      <c r="R86" s="73"/>
      <c r="S86" s="73"/>
      <c r="T86" s="73"/>
      <c r="U86" s="74"/>
    </row>
    <row r="87" spans="2:21" s="15" customFormat="1" x14ac:dyDescent="0.25">
      <c r="B87" s="72" t="s">
        <v>3247</v>
      </c>
      <c r="C87" s="73"/>
      <c r="D87" s="73"/>
      <c r="E87" s="73"/>
      <c r="F87" s="73"/>
      <c r="G87" s="73"/>
      <c r="H87" s="73"/>
      <c r="I87" s="73"/>
      <c r="J87" s="73"/>
      <c r="K87" s="73"/>
      <c r="L87" s="73"/>
      <c r="M87" s="73"/>
      <c r="N87" s="73"/>
      <c r="O87" s="73"/>
      <c r="P87" s="73"/>
      <c r="Q87" s="73"/>
      <c r="R87" s="73"/>
      <c r="S87" s="73"/>
      <c r="T87" s="73"/>
      <c r="U87" s="74"/>
    </row>
    <row r="88" spans="2:21" s="15" customFormat="1" x14ac:dyDescent="0.25">
      <c r="B88" s="72" t="s">
        <v>3248</v>
      </c>
      <c r="C88" s="73"/>
      <c r="D88" s="73"/>
      <c r="E88" s="73"/>
      <c r="F88" s="73"/>
      <c r="G88" s="73"/>
      <c r="H88" s="73"/>
      <c r="I88" s="73"/>
      <c r="J88" s="73"/>
      <c r="K88" s="73"/>
      <c r="L88" s="73"/>
      <c r="M88" s="73"/>
      <c r="N88" s="73"/>
      <c r="O88" s="73"/>
      <c r="P88" s="73"/>
      <c r="Q88" s="73"/>
      <c r="R88" s="73"/>
      <c r="S88" s="73"/>
      <c r="T88" s="73"/>
      <c r="U88" s="74"/>
    </row>
    <row r="89" spans="2:21" s="15" customFormat="1" x14ac:dyDescent="0.25">
      <c r="B89" s="72" t="s">
        <v>3058</v>
      </c>
      <c r="C89" s="73"/>
      <c r="D89" s="73"/>
      <c r="E89" s="73"/>
      <c r="F89" s="73"/>
      <c r="G89" s="73"/>
      <c r="H89" s="73"/>
      <c r="I89" s="73"/>
      <c r="J89" s="73"/>
      <c r="K89" s="73"/>
      <c r="L89" s="73"/>
      <c r="M89" s="73"/>
      <c r="N89" s="73"/>
      <c r="O89" s="73"/>
      <c r="P89" s="73"/>
      <c r="Q89" s="73"/>
      <c r="R89" s="73"/>
      <c r="S89" s="73"/>
      <c r="T89" s="73"/>
      <c r="U89" s="74"/>
    </row>
    <row r="90" spans="2:21" s="15" customFormat="1" x14ac:dyDescent="0.25">
      <c r="B90" s="72" t="s">
        <v>3122</v>
      </c>
      <c r="C90" s="73"/>
      <c r="D90" s="73"/>
      <c r="E90" s="73"/>
      <c r="F90" s="73"/>
      <c r="G90" s="73"/>
      <c r="H90" s="73"/>
      <c r="I90" s="73"/>
      <c r="J90" s="73"/>
      <c r="K90" s="73"/>
      <c r="L90" s="73"/>
      <c r="M90" s="73"/>
      <c r="N90" s="73"/>
      <c r="O90" s="73"/>
      <c r="P90" s="73"/>
      <c r="Q90" s="73"/>
      <c r="R90" s="73"/>
      <c r="S90" s="73"/>
      <c r="T90" s="73"/>
      <c r="U90" s="74"/>
    </row>
    <row r="91" spans="2:21" s="15" customFormat="1" x14ac:dyDescent="0.25">
      <c r="B91" s="72" t="s">
        <v>3123</v>
      </c>
      <c r="C91" s="73"/>
      <c r="D91" s="73"/>
      <c r="E91" s="73"/>
      <c r="F91" s="73"/>
      <c r="G91" s="73"/>
      <c r="H91" s="73"/>
      <c r="I91" s="73"/>
      <c r="J91" s="73"/>
      <c r="K91" s="73"/>
      <c r="L91" s="73"/>
      <c r="M91" s="73"/>
      <c r="N91" s="73"/>
      <c r="O91" s="73"/>
      <c r="P91" s="73"/>
      <c r="Q91" s="73"/>
      <c r="R91" s="73"/>
      <c r="S91" s="73"/>
      <c r="T91" s="73"/>
      <c r="U91" s="74"/>
    </row>
    <row r="92" spans="2:21" s="15" customFormat="1" x14ac:dyDescent="0.25">
      <c r="B92" s="72" t="s">
        <v>3124</v>
      </c>
      <c r="C92" s="73"/>
      <c r="D92" s="73"/>
      <c r="E92" s="73"/>
      <c r="F92" s="73"/>
      <c r="G92" s="73"/>
      <c r="H92" s="73"/>
      <c r="I92" s="73"/>
      <c r="J92" s="73"/>
      <c r="K92" s="73"/>
      <c r="L92" s="73"/>
      <c r="M92" s="73"/>
      <c r="N92" s="73"/>
      <c r="O92" s="73"/>
      <c r="P92" s="73"/>
      <c r="Q92" s="73"/>
      <c r="R92" s="73"/>
      <c r="S92" s="73"/>
      <c r="T92" s="73"/>
      <c r="U92" s="74"/>
    </row>
    <row r="93" spans="2:21" s="15" customFormat="1" x14ac:dyDescent="0.25">
      <c r="B93" s="72" t="s">
        <v>3125</v>
      </c>
      <c r="C93" s="73"/>
      <c r="D93" s="73"/>
      <c r="E93" s="73"/>
      <c r="F93" s="73"/>
      <c r="G93" s="73"/>
      <c r="H93" s="73"/>
      <c r="I93" s="73"/>
      <c r="J93" s="73"/>
      <c r="K93" s="73"/>
      <c r="L93" s="73"/>
      <c r="M93" s="73"/>
      <c r="N93" s="73"/>
      <c r="O93" s="73"/>
      <c r="P93" s="73"/>
      <c r="Q93" s="73"/>
      <c r="R93" s="73"/>
      <c r="S93" s="73"/>
      <c r="T93" s="73"/>
      <c r="U93" s="74"/>
    </row>
    <row r="94" spans="2:21" s="15" customFormat="1" x14ac:dyDescent="0.25">
      <c r="B94" s="72" t="s">
        <v>3126</v>
      </c>
      <c r="C94" s="73"/>
      <c r="D94" s="73"/>
      <c r="E94" s="73"/>
      <c r="F94" s="73"/>
      <c r="G94" s="73"/>
      <c r="H94" s="73"/>
      <c r="I94" s="73"/>
      <c r="J94" s="73"/>
      <c r="K94" s="73"/>
      <c r="L94" s="73"/>
      <c r="M94" s="73"/>
      <c r="N94" s="73"/>
      <c r="O94" s="73"/>
      <c r="P94" s="73"/>
      <c r="Q94" s="73"/>
      <c r="R94" s="73"/>
      <c r="S94" s="73"/>
      <c r="T94" s="73"/>
      <c r="U94" s="74"/>
    </row>
    <row r="95" spans="2:21" s="15" customFormat="1" x14ac:dyDescent="0.25">
      <c r="B95" s="72" t="s">
        <v>3127</v>
      </c>
      <c r="C95" s="73"/>
      <c r="D95" s="73"/>
      <c r="E95" s="73"/>
      <c r="F95" s="73"/>
      <c r="G95" s="73"/>
      <c r="H95" s="73"/>
      <c r="I95" s="73"/>
      <c r="J95" s="73"/>
      <c r="K95" s="73"/>
      <c r="L95" s="73"/>
      <c r="M95" s="73"/>
      <c r="N95" s="73"/>
      <c r="O95" s="73"/>
      <c r="P95" s="73"/>
      <c r="Q95" s="73"/>
      <c r="R95" s="73"/>
      <c r="S95" s="73"/>
      <c r="T95" s="73"/>
      <c r="U95" s="74"/>
    </row>
    <row r="96" spans="2:21" s="15" customFormat="1" x14ac:dyDescent="0.25">
      <c r="B96" s="72" t="s">
        <v>3249</v>
      </c>
      <c r="C96" s="73"/>
      <c r="D96" s="73"/>
      <c r="E96" s="73"/>
      <c r="F96" s="73"/>
      <c r="G96" s="73"/>
      <c r="H96" s="73"/>
      <c r="I96" s="73"/>
      <c r="J96" s="73"/>
      <c r="K96" s="73"/>
      <c r="L96" s="73"/>
      <c r="M96" s="73"/>
      <c r="N96" s="73"/>
      <c r="O96" s="73"/>
      <c r="P96" s="73"/>
      <c r="Q96" s="73"/>
      <c r="R96" s="73"/>
      <c r="S96" s="73"/>
      <c r="T96" s="73"/>
      <c r="U96" s="74"/>
    </row>
    <row r="97" spans="2:21" s="15" customFormat="1" x14ac:dyDescent="0.25">
      <c r="B97" s="72" t="s">
        <v>3250</v>
      </c>
      <c r="C97" s="73"/>
      <c r="D97" s="73"/>
      <c r="E97" s="73"/>
      <c r="F97" s="73"/>
      <c r="G97" s="73"/>
      <c r="H97" s="73"/>
      <c r="I97" s="73"/>
      <c r="J97" s="73"/>
      <c r="K97" s="73"/>
      <c r="L97" s="73"/>
      <c r="M97" s="73"/>
      <c r="N97" s="73"/>
      <c r="O97" s="73"/>
      <c r="P97" s="73"/>
      <c r="Q97" s="73"/>
      <c r="R97" s="73"/>
      <c r="S97" s="73"/>
      <c r="T97" s="73"/>
      <c r="U97" s="74"/>
    </row>
    <row r="98" spans="2:21" s="15" customFormat="1" x14ac:dyDescent="0.25">
      <c r="B98" s="72" t="s">
        <v>3251</v>
      </c>
      <c r="C98" s="73"/>
      <c r="D98" s="73"/>
      <c r="E98" s="73"/>
      <c r="F98" s="73"/>
      <c r="G98" s="73"/>
      <c r="H98" s="73"/>
      <c r="I98" s="73"/>
      <c r="J98" s="73"/>
      <c r="K98" s="73"/>
      <c r="L98" s="73"/>
      <c r="M98" s="73"/>
      <c r="N98" s="73"/>
      <c r="O98" s="73"/>
      <c r="P98" s="73"/>
      <c r="Q98" s="73"/>
      <c r="R98" s="73"/>
      <c r="S98" s="73"/>
      <c r="T98" s="73"/>
      <c r="U98" s="74"/>
    </row>
    <row r="99" spans="2:21" s="15" customFormat="1" x14ac:dyDescent="0.25">
      <c r="B99" s="72" t="s">
        <v>3252</v>
      </c>
      <c r="C99" s="73"/>
      <c r="D99" s="73"/>
      <c r="E99" s="73"/>
      <c r="F99" s="73"/>
      <c r="G99" s="73"/>
      <c r="H99" s="73"/>
      <c r="I99" s="73"/>
      <c r="J99" s="73"/>
      <c r="K99" s="73"/>
      <c r="L99" s="73"/>
      <c r="M99" s="73"/>
      <c r="N99" s="73"/>
      <c r="O99" s="73"/>
      <c r="P99" s="73"/>
      <c r="Q99" s="73"/>
      <c r="R99" s="73"/>
      <c r="S99" s="73"/>
      <c r="T99" s="73"/>
      <c r="U99" s="74"/>
    </row>
    <row r="100" spans="2:21" s="15" customFormat="1" x14ac:dyDescent="0.25">
      <c r="B100" s="72" t="s">
        <v>3134</v>
      </c>
      <c r="C100" s="73"/>
      <c r="D100" s="73"/>
      <c r="E100" s="73"/>
      <c r="F100" s="73"/>
      <c r="G100" s="73"/>
      <c r="H100" s="73"/>
      <c r="I100" s="73"/>
      <c r="J100" s="73"/>
      <c r="K100" s="73"/>
      <c r="L100" s="73"/>
      <c r="M100" s="73"/>
      <c r="N100" s="73"/>
      <c r="O100" s="73"/>
      <c r="P100" s="73"/>
      <c r="Q100" s="73"/>
      <c r="R100" s="73"/>
      <c r="S100" s="73"/>
      <c r="T100" s="73"/>
      <c r="U100" s="74"/>
    </row>
    <row r="101" spans="2:21" s="15" customFormat="1" x14ac:dyDescent="0.25">
      <c r="B101" s="72" t="s">
        <v>3135</v>
      </c>
      <c r="C101" s="73"/>
      <c r="D101" s="73"/>
      <c r="E101" s="73"/>
      <c r="F101" s="73"/>
      <c r="G101" s="73"/>
      <c r="H101" s="73"/>
      <c r="I101" s="73"/>
      <c r="J101" s="73"/>
      <c r="K101" s="73"/>
      <c r="L101" s="73"/>
      <c r="M101" s="73"/>
      <c r="N101" s="73"/>
      <c r="O101" s="73"/>
      <c r="P101" s="73"/>
      <c r="Q101" s="73"/>
      <c r="R101" s="73"/>
      <c r="S101" s="73"/>
      <c r="T101" s="73"/>
      <c r="U101" s="74"/>
    </row>
    <row r="102" spans="2:21" s="15" customFormat="1" x14ac:dyDescent="0.25">
      <c r="B102" s="72" t="s">
        <v>3136</v>
      </c>
      <c r="C102" s="73"/>
      <c r="D102" s="73"/>
      <c r="E102" s="73"/>
      <c r="F102" s="73"/>
      <c r="G102" s="73"/>
      <c r="H102" s="73"/>
      <c r="I102" s="73"/>
      <c r="J102" s="73"/>
      <c r="K102" s="73"/>
      <c r="L102" s="73"/>
      <c r="M102" s="73"/>
      <c r="N102" s="73"/>
      <c r="O102" s="73"/>
      <c r="P102" s="73"/>
      <c r="Q102" s="73"/>
      <c r="R102" s="73"/>
      <c r="S102" s="73"/>
      <c r="T102" s="73"/>
      <c r="U102" s="74"/>
    </row>
    <row r="103" spans="2:21" s="15" customFormat="1" x14ac:dyDescent="0.25">
      <c r="B103" s="72" t="s">
        <v>3253</v>
      </c>
      <c r="C103" s="73"/>
      <c r="D103" s="73"/>
      <c r="E103" s="73"/>
      <c r="F103" s="73"/>
      <c r="G103" s="73"/>
      <c r="H103" s="73"/>
      <c r="I103" s="73"/>
      <c r="J103" s="73"/>
      <c r="K103" s="73"/>
      <c r="L103" s="73"/>
      <c r="M103" s="73"/>
      <c r="N103" s="73"/>
      <c r="O103" s="73"/>
      <c r="P103" s="73"/>
      <c r="Q103" s="73"/>
      <c r="R103" s="73"/>
      <c r="S103" s="73"/>
      <c r="T103" s="73"/>
      <c r="U103" s="74"/>
    </row>
    <row r="104" spans="2:21" s="15" customFormat="1" x14ac:dyDescent="0.25">
      <c r="B104" s="72" t="s">
        <v>3138</v>
      </c>
      <c r="C104" s="73"/>
      <c r="D104" s="73"/>
      <c r="E104" s="73"/>
      <c r="F104" s="73"/>
      <c r="G104" s="73"/>
      <c r="H104" s="73"/>
      <c r="I104" s="73"/>
      <c r="J104" s="73"/>
      <c r="K104" s="73"/>
      <c r="L104" s="73"/>
      <c r="M104" s="73"/>
      <c r="N104" s="73"/>
      <c r="O104" s="73"/>
      <c r="P104" s="73"/>
      <c r="Q104" s="73"/>
      <c r="R104" s="73"/>
      <c r="S104" s="73"/>
      <c r="T104" s="73"/>
      <c r="U104" s="74"/>
    </row>
    <row r="105" spans="2:21" s="15" customFormat="1" x14ac:dyDescent="0.25">
      <c r="B105" s="72" t="s">
        <v>3139</v>
      </c>
      <c r="C105" s="73"/>
      <c r="D105" s="73"/>
      <c r="E105" s="73"/>
      <c r="F105" s="73"/>
      <c r="G105" s="73"/>
      <c r="H105" s="73"/>
      <c r="I105" s="73"/>
      <c r="J105" s="73"/>
      <c r="K105" s="73"/>
      <c r="L105" s="73"/>
      <c r="M105" s="73"/>
      <c r="N105" s="73"/>
      <c r="O105" s="73"/>
      <c r="P105" s="73"/>
      <c r="Q105" s="73"/>
      <c r="R105" s="73"/>
      <c r="S105" s="73"/>
      <c r="T105" s="73"/>
      <c r="U105" s="74"/>
    </row>
    <row r="106" spans="2:21" s="15" customFormat="1" x14ac:dyDescent="0.25">
      <c r="B106" s="72" t="s">
        <v>3254</v>
      </c>
      <c r="C106" s="73"/>
      <c r="D106" s="73"/>
      <c r="E106" s="73"/>
      <c r="F106" s="73"/>
      <c r="G106" s="73"/>
      <c r="H106" s="73"/>
      <c r="I106" s="73"/>
      <c r="J106" s="73"/>
      <c r="K106" s="73"/>
      <c r="L106" s="73"/>
      <c r="M106" s="73"/>
      <c r="N106" s="73"/>
      <c r="O106" s="73"/>
      <c r="P106" s="73"/>
      <c r="Q106" s="73"/>
      <c r="R106" s="73"/>
      <c r="S106" s="73"/>
      <c r="T106" s="73"/>
      <c r="U106" s="74"/>
    </row>
    <row r="107" spans="2:21" s="15" customFormat="1" x14ac:dyDescent="0.25">
      <c r="B107" s="72" t="s">
        <v>3255</v>
      </c>
      <c r="C107" s="73"/>
      <c r="D107" s="73"/>
      <c r="E107" s="73"/>
      <c r="F107" s="73"/>
      <c r="G107" s="73"/>
      <c r="H107" s="73"/>
      <c r="I107" s="73"/>
      <c r="J107" s="73"/>
      <c r="K107" s="73"/>
      <c r="L107" s="73"/>
      <c r="M107" s="73"/>
      <c r="N107" s="73"/>
      <c r="O107" s="73"/>
      <c r="P107" s="73"/>
      <c r="Q107" s="73"/>
      <c r="R107" s="73"/>
      <c r="S107" s="73"/>
      <c r="T107" s="73"/>
      <c r="U107" s="74"/>
    </row>
    <row r="108" spans="2:21" s="15" customFormat="1" x14ac:dyDescent="0.25">
      <c r="B108" s="72" t="s">
        <v>3256</v>
      </c>
      <c r="C108" s="73"/>
      <c r="D108" s="73"/>
      <c r="E108" s="73"/>
      <c r="F108" s="73"/>
      <c r="G108" s="73"/>
      <c r="H108" s="73"/>
      <c r="I108" s="73"/>
      <c r="J108" s="73"/>
      <c r="K108" s="73"/>
      <c r="L108" s="73"/>
      <c r="M108" s="73"/>
      <c r="N108" s="73"/>
      <c r="O108" s="73"/>
      <c r="P108" s="73"/>
      <c r="Q108" s="73"/>
      <c r="R108" s="73"/>
      <c r="S108" s="73"/>
      <c r="T108" s="73"/>
      <c r="U108" s="74"/>
    </row>
    <row r="109" spans="2:21" s="15" customFormat="1" x14ac:dyDescent="0.25">
      <c r="B109" s="72" t="s">
        <v>3146</v>
      </c>
      <c r="C109" s="73"/>
      <c r="D109" s="73"/>
      <c r="E109" s="73"/>
      <c r="F109" s="73"/>
      <c r="G109" s="73"/>
      <c r="H109" s="73"/>
      <c r="I109" s="73"/>
      <c r="J109" s="73"/>
      <c r="K109" s="73"/>
      <c r="L109" s="73"/>
      <c r="M109" s="73"/>
      <c r="N109" s="73"/>
      <c r="O109" s="73"/>
      <c r="P109" s="73"/>
      <c r="Q109" s="73"/>
      <c r="R109" s="73"/>
      <c r="S109" s="73"/>
      <c r="T109" s="73"/>
      <c r="U109" s="74"/>
    </row>
    <row r="110" spans="2:21" s="15" customFormat="1" x14ac:dyDescent="0.25">
      <c r="B110" s="72" t="s">
        <v>3125</v>
      </c>
      <c r="C110" s="73"/>
      <c r="D110" s="73"/>
      <c r="E110" s="73"/>
      <c r="F110" s="73"/>
      <c r="G110" s="73"/>
      <c r="H110" s="73"/>
      <c r="I110" s="73"/>
      <c r="J110" s="73"/>
      <c r="K110" s="73"/>
      <c r="L110" s="73"/>
      <c r="M110" s="73"/>
      <c r="N110" s="73"/>
      <c r="O110" s="73"/>
      <c r="P110" s="73"/>
      <c r="Q110" s="73"/>
      <c r="R110" s="73"/>
      <c r="S110" s="73"/>
      <c r="T110" s="73"/>
      <c r="U110" s="74"/>
    </row>
    <row r="111" spans="2:21" s="15" customFormat="1" x14ac:dyDescent="0.25">
      <c r="B111" s="72" t="s">
        <v>3257</v>
      </c>
      <c r="C111" s="73"/>
      <c r="D111" s="73"/>
      <c r="E111" s="73"/>
      <c r="F111" s="73"/>
      <c r="G111" s="73"/>
      <c r="H111" s="73"/>
      <c r="I111" s="73"/>
      <c r="J111" s="73"/>
      <c r="K111" s="73"/>
      <c r="L111" s="73"/>
      <c r="M111" s="73"/>
      <c r="N111" s="73"/>
      <c r="O111" s="73"/>
      <c r="P111" s="73"/>
      <c r="Q111" s="73"/>
      <c r="R111" s="73"/>
      <c r="S111" s="73"/>
      <c r="T111" s="73"/>
      <c r="U111" s="74"/>
    </row>
    <row r="112" spans="2:21" s="15" customFormat="1" x14ac:dyDescent="0.25">
      <c r="B112" s="72" t="s">
        <v>3258</v>
      </c>
      <c r="C112" s="73"/>
      <c r="D112" s="73"/>
      <c r="E112" s="73"/>
      <c r="F112" s="73"/>
      <c r="G112" s="73"/>
      <c r="H112" s="73"/>
      <c r="I112" s="73"/>
      <c r="J112" s="73"/>
      <c r="K112" s="73"/>
      <c r="L112" s="73"/>
      <c r="M112" s="73"/>
      <c r="N112" s="73"/>
      <c r="O112" s="73"/>
      <c r="P112" s="73"/>
      <c r="Q112" s="73"/>
      <c r="R112" s="73"/>
      <c r="S112" s="73"/>
      <c r="T112" s="73"/>
      <c r="U112" s="74"/>
    </row>
    <row r="113" spans="2:21" s="15" customFormat="1" x14ac:dyDescent="0.25">
      <c r="B113" s="72" t="s">
        <v>3127</v>
      </c>
      <c r="C113" s="73"/>
      <c r="D113" s="73"/>
      <c r="E113" s="73"/>
      <c r="F113" s="73"/>
      <c r="G113" s="73"/>
      <c r="H113" s="73"/>
      <c r="I113" s="73"/>
      <c r="J113" s="73"/>
      <c r="K113" s="73"/>
      <c r="L113" s="73"/>
      <c r="M113" s="73"/>
      <c r="N113" s="73"/>
      <c r="O113" s="73"/>
      <c r="P113" s="73"/>
      <c r="Q113" s="73"/>
      <c r="R113" s="73"/>
      <c r="S113" s="73"/>
      <c r="T113" s="73"/>
      <c r="U113" s="74"/>
    </row>
    <row r="114" spans="2:21" s="15" customFormat="1" x14ac:dyDescent="0.25">
      <c r="B114" s="72" t="s">
        <v>3259</v>
      </c>
      <c r="C114" s="73"/>
      <c r="D114" s="73"/>
      <c r="E114" s="73"/>
      <c r="F114" s="73"/>
      <c r="G114" s="73"/>
      <c r="H114" s="73"/>
      <c r="I114" s="73"/>
      <c r="J114" s="73"/>
      <c r="K114" s="73"/>
      <c r="L114" s="73"/>
      <c r="M114" s="73"/>
      <c r="N114" s="73"/>
      <c r="O114" s="73"/>
      <c r="P114" s="73"/>
      <c r="Q114" s="73"/>
      <c r="R114" s="73"/>
      <c r="S114" s="73"/>
      <c r="T114" s="73"/>
      <c r="U114" s="74"/>
    </row>
    <row r="115" spans="2:21" s="15" customFormat="1" x14ac:dyDescent="0.25">
      <c r="B115" s="72" t="s">
        <v>3260</v>
      </c>
      <c r="C115" s="73"/>
      <c r="D115" s="73"/>
      <c r="E115" s="73"/>
      <c r="F115" s="73"/>
      <c r="G115" s="73"/>
      <c r="H115" s="73"/>
      <c r="I115" s="73"/>
      <c r="J115" s="73"/>
      <c r="K115" s="73"/>
      <c r="L115" s="73"/>
      <c r="M115" s="73"/>
      <c r="N115" s="73"/>
      <c r="O115" s="73"/>
      <c r="P115" s="73"/>
      <c r="Q115" s="73"/>
      <c r="R115" s="73"/>
      <c r="S115" s="73"/>
      <c r="T115" s="73"/>
      <c r="U115" s="74"/>
    </row>
    <row r="116" spans="2:21" s="15" customFormat="1" x14ac:dyDescent="0.25">
      <c r="B116" s="72" t="s">
        <v>3261</v>
      </c>
      <c r="C116" s="73"/>
      <c r="D116" s="73"/>
      <c r="E116" s="73"/>
      <c r="F116" s="73"/>
      <c r="G116" s="73"/>
      <c r="H116" s="73"/>
      <c r="I116" s="73"/>
      <c r="J116" s="73"/>
      <c r="K116" s="73"/>
      <c r="L116" s="73"/>
      <c r="M116" s="73"/>
      <c r="N116" s="73"/>
      <c r="O116" s="73"/>
      <c r="P116" s="73"/>
      <c r="Q116" s="73"/>
      <c r="R116" s="73"/>
      <c r="S116" s="73"/>
      <c r="T116" s="73"/>
      <c r="U116" s="74"/>
    </row>
    <row r="117" spans="2:21" s="15" customFormat="1" x14ac:dyDescent="0.25">
      <c r="B117" s="72" t="s">
        <v>3262</v>
      </c>
      <c r="C117" s="73"/>
      <c r="D117" s="73"/>
      <c r="E117" s="73"/>
      <c r="F117" s="73"/>
      <c r="G117" s="73"/>
      <c r="H117" s="73"/>
      <c r="I117" s="73"/>
      <c r="J117" s="73"/>
      <c r="K117" s="73"/>
      <c r="L117" s="73"/>
      <c r="M117" s="73"/>
      <c r="N117" s="73"/>
      <c r="O117" s="73"/>
      <c r="P117" s="73"/>
      <c r="Q117" s="73"/>
      <c r="R117" s="73"/>
      <c r="S117" s="73"/>
      <c r="T117" s="73"/>
      <c r="U117" s="74"/>
    </row>
    <row r="118" spans="2:21" s="15" customFormat="1" x14ac:dyDescent="0.25">
      <c r="B118" s="72" t="s">
        <v>3134</v>
      </c>
      <c r="C118" s="73"/>
      <c r="D118" s="73"/>
      <c r="E118" s="73"/>
      <c r="F118" s="73"/>
      <c r="G118" s="73"/>
      <c r="H118" s="73"/>
      <c r="I118" s="73"/>
      <c r="J118" s="73"/>
      <c r="K118" s="73"/>
      <c r="L118" s="73"/>
      <c r="M118" s="73"/>
      <c r="N118" s="73"/>
      <c r="O118" s="73"/>
      <c r="P118" s="73"/>
      <c r="Q118" s="73"/>
      <c r="R118" s="73"/>
      <c r="S118" s="73"/>
      <c r="T118" s="73"/>
      <c r="U118" s="74"/>
    </row>
    <row r="119" spans="2:21" s="15" customFormat="1" x14ac:dyDescent="0.25">
      <c r="B119" s="72" t="s">
        <v>3263</v>
      </c>
      <c r="C119" s="73"/>
      <c r="D119" s="73"/>
      <c r="E119" s="73"/>
      <c r="F119" s="73"/>
      <c r="G119" s="73"/>
      <c r="H119" s="73"/>
      <c r="I119" s="73"/>
      <c r="J119" s="73"/>
      <c r="K119" s="73"/>
      <c r="L119" s="73"/>
      <c r="M119" s="73"/>
      <c r="N119" s="73"/>
      <c r="O119" s="73"/>
      <c r="P119" s="73"/>
      <c r="Q119" s="73"/>
      <c r="R119" s="73"/>
      <c r="S119" s="73"/>
      <c r="T119" s="73"/>
      <c r="U119" s="74"/>
    </row>
    <row r="120" spans="2:21" s="15" customFormat="1" x14ac:dyDescent="0.25">
      <c r="B120" s="72" t="s">
        <v>3136</v>
      </c>
      <c r="C120" s="73"/>
      <c r="D120" s="73"/>
      <c r="E120" s="73"/>
      <c r="F120" s="73"/>
      <c r="G120" s="73"/>
      <c r="H120" s="73"/>
      <c r="I120" s="73"/>
      <c r="J120" s="73"/>
      <c r="K120" s="73"/>
      <c r="L120" s="73"/>
      <c r="M120" s="73"/>
      <c r="N120" s="73"/>
      <c r="O120" s="73"/>
      <c r="P120" s="73"/>
      <c r="Q120" s="73"/>
      <c r="R120" s="73"/>
      <c r="S120" s="73"/>
      <c r="T120" s="73"/>
      <c r="U120" s="74"/>
    </row>
    <row r="121" spans="2:21" s="15" customFormat="1" x14ac:dyDescent="0.25">
      <c r="B121" s="72" t="s">
        <v>3253</v>
      </c>
      <c r="C121" s="73"/>
      <c r="D121" s="73"/>
      <c r="E121" s="73"/>
      <c r="F121" s="73"/>
      <c r="G121" s="73"/>
      <c r="H121" s="73"/>
      <c r="I121" s="73"/>
      <c r="J121" s="73"/>
      <c r="K121" s="73"/>
      <c r="L121" s="73"/>
      <c r="M121" s="73"/>
      <c r="N121" s="73"/>
      <c r="O121" s="73"/>
      <c r="P121" s="73"/>
      <c r="Q121" s="73"/>
      <c r="R121" s="73"/>
      <c r="S121" s="73"/>
      <c r="T121" s="73"/>
      <c r="U121" s="74"/>
    </row>
    <row r="122" spans="2:21" s="15" customFormat="1" x14ac:dyDescent="0.25">
      <c r="B122" s="72" t="s">
        <v>3138</v>
      </c>
      <c r="C122" s="73"/>
      <c r="D122" s="73"/>
      <c r="E122" s="73"/>
      <c r="F122" s="73"/>
      <c r="G122" s="73"/>
      <c r="H122" s="73"/>
      <c r="I122" s="73"/>
      <c r="J122" s="73"/>
      <c r="K122" s="73"/>
      <c r="L122" s="73"/>
      <c r="M122" s="73"/>
      <c r="N122" s="73"/>
      <c r="O122" s="73"/>
      <c r="P122" s="73"/>
      <c r="Q122" s="73"/>
      <c r="R122" s="73"/>
      <c r="S122" s="73"/>
      <c r="T122" s="73"/>
      <c r="U122" s="74"/>
    </row>
    <row r="123" spans="2:21" s="15" customFormat="1" x14ac:dyDescent="0.25">
      <c r="B123" s="72" t="s">
        <v>3139</v>
      </c>
      <c r="C123" s="73"/>
      <c r="D123" s="73"/>
      <c r="E123" s="73"/>
      <c r="F123" s="73"/>
      <c r="G123" s="73"/>
      <c r="H123" s="73"/>
      <c r="I123" s="73"/>
      <c r="J123" s="73"/>
      <c r="K123" s="73"/>
      <c r="L123" s="73"/>
      <c r="M123" s="73"/>
      <c r="N123" s="73"/>
      <c r="O123" s="73"/>
      <c r="P123" s="73"/>
      <c r="Q123" s="73"/>
      <c r="R123" s="73"/>
      <c r="S123" s="73"/>
      <c r="T123" s="73"/>
      <c r="U123" s="74"/>
    </row>
    <row r="124" spans="2:21" s="15" customFormat="1" x14ac:dyDescent="0.25">
      <c r="B124" s="72" t="s">
        <v>3254</v>
      </c>
      <c r="C124" s="73"/>
      <c r="D124" s="73"/>
      <c r="E124" s="73"/>
      <c r="F124" s="73"/>
      <c r="G124" s="73"/>
      <c r="H124" s="73"/>
      <c r="I124" s="73"/>
      <c r="J124" s="73"/>
      <c r="K124" s="73"/>
      <c r="L124" s="73"/>
      <c r="M124" s="73"/>
      <c r="N124" s="73"/>
      <c r="O124" s="73"/>
      <c r="P124" s="73"/>
      <c r="Q124" s="73"/>
      <c r="R124" s="73"/>
      <c r="S124" s="73"/>
      <c r="T124" s="73"/>
      <c r="U124" s="74"/>
    </row>
    <row r="125" spans="2:21" s="15" customFormat="1" x14ac:dyDescent="0.25">
      <c r="B125" s="72" t="s">
        <v>3264</v>
      </c>
      <c r="C125" s="73"/>
      <c r="D125" s="73"/>
      <c r="E125" s="73"/>
      <c r="F125" s="73"/>
      <c r="G125" s="73"/>
      <c r="H125" s="73"/>
      <c r="I125" s="73"/>
      <c r="J125" s="73"/>
      <c r="K125" s="73"/>
      <c r="L125" s="73"/>
      <c r="M125" s="73"/>
      <c r="N125" s="73"/>
      <c r="O125" s="73"/>
      <c r="P125" s="73"/>
      <c r="Q125" s="73"/>
      <c r="R125" s="73"/>
      <c r="S125" s="73"/>
      <c r="T125" s="73"/>
      <c r="U125" s="74"/>
    </row>
    <row r="126" spans="2:21" s="15" customFormat="1" x14ac:dyDescent="0.25">
      <c r="B126" s="72" t="s">
        <v>3265</v>
      </c>
      <c r="C126" s="73"/>
      <c r="D126" s="73"/>
      <c r="E126" s="73"/>
      <c r="F126" s="73"/>
      <c r="G126" s="73"/>
      <c r="H126" s="73"/>
      <c r="I126" s="73"/>
      <c r="J126" s="73"/>
      <c r="K126" s="73"/>
      <c r="L126" s="73"/>
      <c r="M126" s="73"/>
      <c r="N126" s="73"/>
      <c r="O126" s="73"/>
      <c r="P126" s="73"/>
      <c r="Q126" s="73"/>
      <c r="R126" s="73"/>
      <c r="S126" s="73"/>
      <c r="T126" s="73"/>
      <c r="U126" s="74"/>
    </row>
    <row r="127" spans="2:21" s="15" customFormat="1" x14ac:dyDescent="0.25">
      <c r="B127" s="72" t="s">
        <v>3146</v>
      </c>
      <c r="C127" s="73"/>
      <c r="D127" s="73"/>
      <c r="E127" s="73"/>
      <c r="F127" s="73"/>
      <c r="G127" s="73"/>
      <c r="H127" s="73"/>
      <c r="I127" s="73"/>
      <c r="J127" s="73"/>
      <c r="K127" s="73"/>
      <c r="L127" s="73"/>
      <c r="M127" s="73"/>
      <c r="N127" s="73"/>
      <c r="O127" s="73"/>
      <c r="P127" s="73"/>
      <c r="Q127" s="73"/>
      <c r="R127" s="73"/>
      <c r="S127" s="73"/>
      <c r="T127" s="73"/>
      <c r="U127" s="74"/>
    </row>
    <row r="128" spans="2:21" s="15" customFormat="1" x14ac:dyDescent="0.25">
      <c r="B128" s="72" t="s">
        <v>3125</v>
      </c>
      <c r="C128" s="73"/>
      <c r="D128" s="73"/>
      <c r="E128" s="73"/>
      <c r="F128" s="73"/>
      <c r="G128" s="73"/>
      <c r="H128" s="73"/>
      <c r="I128" s="73"/>
      <c r="J128" s="73"/>
      <c r="K128" s="73"/>
      <c r="L128" s="73"/>
      <c r="M128" s="73"/>
      <c r="N128" s="73"/>
      <c r="O128" s="73"/>
      <c r="P128" s="73"/>
      <c r="Q128" s="73"/>
      <c r="R128" s="73"/>
      <c r="S128" s="73"/>
      <c r="T128" s="73"/>
      <c r="U128" s="74"/>
    </row>
    <row r="129" spans="2:21" s="15" customFormat="1" x14ac:dyDescent="0.25">
      <c r="B129" s="72" t="s">
        <v>3147</v>
      </c>
      <c r="C129" s="73"/>
      <c r="D129" s="73"/>
      <c r="E129" s="73"/>
      <c r="F129" s="73"/>
      <c r="G129" s="73"/>
      <c r="H129" s="73"/>
      <c r="I129" s="73"/>
      <c r="J129" s="73"/>
      <c r="K129" s="73"/>
      <c r="L129" s="73"/>
      <c r="M129" s="73"/>
      <c r="N129" s="73"/>
      <c r="O129" s="73"/>
      <c r="P129" s="73"/>
      <c r="Q129" s="73"/>
      <c r="R129" s="73"/>
      <c r="S129" s="73"/>
      <c r="T129" s="73"/>
      <c r="U129" s="74"/>
    </row>
    <row r="130" spans="2:21" s="15" customFormat="1" x14ac:dyDescent="0.25">
      <c r="B130" s="72" t="s">
        <v>3266</v>
      </c>
      <c r="C130" s="73"/>
      <c r="D130" s="73"/>
      <c r="E130" s="73"/>
      <c r="F130" s="73"/>
      <c r="G130" s="73"/>
      <c r="H130" s="73"/>
      <c r="I130" s="73"/>
      <c r="J130" s="73"/>
      <c r="K130" s="73"/>
      <c r="L130" s="73"/>
      <c r="M130" s="73"/>
      <c r="N130" s="73"/>
      <c r="O130" s="73"/>
      <c r="P130" s="73"/>
      <c r="Q130" s="73"/>
      <c r="R130" s="73"/>
      <c r="S130" s="73"/>
      <c r="T130" s="73"/>
      <c r="U130" s="74"/>
    </row>
    <row r="131" spans="2:21" s="15" customFormat="1" x14ac:dyDescent="0.25">
      <c r="B131" s="72" t="s">
        <v>3151</v>
      </c>
      <c r="C131" s="73"/>
      <c r="D131" s="73"/>
      <c r="E131" s="73"/>
      <c r="F131" s="73"/>
      <c r="G131" s="73"/>
      <c r="H131" s="73"/>
      <c r="I131" s="73"/>
      <c r="J131" s="73"/>
      <c r="K131" s="73"/>
      <c r="L131" s="73"/>
      <c r="M131" s="73"/>
      <c r="N131" s="73"/>
      <c r="O131" s="73"/>
      <c r="P131" s="73"/>
      <c r="Q131" s="73"/>
      <c r="R131" s="73"/>
      <c r="S131" s="73"/>
      <c r="T131" s="73"/>
      <c r="U131" s="74"/>
    </row>
    <row r="132" spans="2:21" s="15" customFormat="1" x14ac:dyDescent="0.25">
      <c r="B132" s="72" t="s">
        <v>3152</v>
      </c>
      <c r="C132" s="73"/>
      <c r="D132" s="73"/>
      <c r="E132" s="73"/>
      <c r="F132" s="73"/>
      <c r="G132" s="73"/>
      <c r="H132" s="73"/>
      <c r="I132" s="73"/>
      <c r="J132" s="73"/>
      <c r="K132" s="73"/>
      <c r="L132" s="73"/>
      <c r="M132" s="73"/>
      <c r="N132" s="73"/>
      <c r="O132" s="73"/>
      <c r="P132" s="73"/>
      <c r="Q132" s="73"/>
      <c r="R132" s="73"/>
      <c r="S132" s="73"/>
      <c r="T132" s="73"/>
      <c r="U132" s="74"/>
    </row>
    <row r="133" spans="2:21" s="15" customFormat="1" x14ac:dyDescent="0.25">
      <c r="B133" s="72" t="s">
        <v>3058</v>
      </c>
      <c r="C133" s="73"/>
      <c r="D133" s="73"/>
      <c r="E133" s="73"/>
      <c r="F133" s="73"/>
      <c r="G133" s="73"/>
      <c r="H133" s="73"/>
      <c r="I133" s="73"/>
      <c r="J133" s="73"/>
      <c r="K133" s="73"/>
      <c r="L133" s="73"/>
      <c r="M133" s="73"/>
      <c r="N133" s="73"/>
      <c r="O133" s="73"/>
      <c r="P133" s="73"/>
      <c r="Q133" s="73"/>
      <c r="R133" s="73"/>
      <c r="S133" s="73"/>
      <c r="T133" s="73"/>
      <c r="U133" s="74"/>
    </row>
    <row r="134" spans="2:21" s="15" customFormat="1" x14ac:dyDescent="0.25">
      <c r="B134" s="72" t="s">
        <v>3267</v>
      </c>
      <c r="C134" s="73"/>
      <c r="D134" s="73"/>
      <c r="E134" s="73"/>
      <c r="F134" s="73"/>
      <c r="G134" s="73"/>
      <c r="H134" s="73"/>
      <c r="I134" s="73"/>
      <c r="J134" s="73"/>
      <c r="K134" s="73"/>
      <c r="L134" s="73"/>
      <c r="M134" s="73"/>
      <c r="N134" s="73"/>
      <c r="O134" s="73"/>
      <c r="P134" s="73"/>
      <c r="Q134" s="73"/>
      <c r="R134" s="73"/>
      <c r="S134" s="73"/>
      <c r="T134" s="73"/>
      <c r="U134" s="74"/>
    </row>
    <row r="135" spans="2:21" s="15" customFormat="1" x14ac:dyDescent="0.25">
      <c r="B135" s="72" t="s">
        <v>3268</v>
      </c>
      <c r="C135" s="73"/>
      <c r="D135" s="73"/>
      <c r="E135" s="73"/>
      <c r="F135" s="73"/>
      <c r="G135" s="73"/>
      <c r="H135" s="73"/>
      <c r="I135" s="73"/>
      <c r="J135" s="73"/>
      <c r="K135" s="73"/>
      <c r="L135" s="73"/>
      <c r="M135" s="73"/>
      <c r="N135" s="73"/>
      <c r="O135" s="73"/>
      <c r="P135" s="73"/>
      <c r="Q135" s="73"/>
      <c r="R135" s="73"/>
      <c r="S135" s="73"/>
      <c r="T135" s="73"/>
      <c r="U135" s="74"/>
    </row>
    <row r="136" spans="2:21" s="15" customFormat="1" x14ac:dyDescent="0.25">
      <c r="B136" s="72" t="s">
        <v>3269</v>
      </c>
      <c r="C136" s="73"/>
      <c r="D136" s="73"/>
      <c r="E136" s="73"/>
      <c r="F136" s="73"/>
      <c r="G136" s="73"/>
      <c r="H136" s="73"/>
      <c r="I136" s="73"/>
      <c r="J136" s="73"/>
      <c r="K136" s="73"/>
      <c r="L136" s="73"/>
      <c r="M136" s="73"/>
      <c r="N136" s="73"/>
      <c r="O136" s="73"/>
      <c r="P136" s="73"/>
      <c r="Q136" s="73"/>
      <c r="R136" s="73"/>
      <c r="S136" s="73"/>
      <c r="T136" s="73"/>
      <c r="U136" s="74"/>
    </row>
    <row r="137" spans="2:21" s="15" customFormat="1" x14ac:dyDescent="0.25">
      <c r="B137" s="72" t="s">
        <v>3270</v>
      </c>
      <c r="C137" s="73"/>
      <c r="D137" s="73"/>
      <c r="E137" s="73"/>
      <c r="F137" s="73"/>
      <c r="G137" s="73"/>
      <c r="H137" s="73"/>
      <c r="I137" s="73"/>
      <c r="J137" s="73"/>
      <c r="K137" s="73"/>
      <c r="L137" s="73"/>
      <c r="M137" s="73"/>
      <c r="N137" s="73"/>
      <c r="O137" s="73"/>
      <c r="P137" s="73"/>
      <c r="Q137" s="73"/>
      <c r="R137" s="73"/>
      <c r="S137" s="73"/>
      <c r="T137" s="73"/>
      <c r="U137" s="74"/>
    </row>
    <row r="138" spans="2:21" s="15" customFormat="1" x14ac:dyDescent="0.25">
      <c r="B138" s="72" t="s">
        <v>3271</v>
      </c>
      <c r="C138" s="73"/>
      <c r="D138" s="73"/>
      <c r="E138" s="73"/>
      <c r="F138" s="73"/>
      <c r="G138" s="73"/>
      <c r="H138" s="73"/>
      <c r="I138" s="73"/>
      <c r="J138" s="73"/>
      <c r="K138" s="73"/>
      <c r="L138" s="73"/>
      <c r="M138" s="73"/>
      <c r="N138" s="73"/>
      <c r="O138" s="73"/>
      <c r="P138" s="73"/>
      <c r="Q138" s="73"/>
      <c r="R138" s="73"/>
      <c r="S138" s="73"/>
      <c r="T138" s="73"/>
      <c r="U138" s="74"/>
    </row>
    <row r="139" spans="2:21" s="15" customFormat="1" x14ac:dyDescent="0.25">
      <c r="B139" s="72" t="s">
        <v>3272</v>
      </c>
      <c r="C139" s="73"/>
      <c r="D139" s="73"/>
      <c r="E139" s="73"/>
      <c r="F139" s="73"/>
      <c r="G139" s="73"/>
      <c r="H139" s="73"/>
      <c r="I139" s="73"/>
      <c r="J139" s="73"/>
      <c r="K139" s="73"/>
      <c r="L139" s="73"/>
      <c r="M139" s="73"/>
      <c r="N139" s="73"/>
      <c r="O139" s="73"/>
      <c r="P139" s="73"/>
      <c r="Q139" s="73"/>
      <c r="R139" s="73"/>
      <c r="S139" s="73"/>
      <c r="T139" s="73"/>
      <c r="U139" s="74"/>
    </row>
    <row r="140" spans="2:21" s="15" customFormat="1" x14ac:dyDescent="0.25">
      <c r="B140" s="72" t="s">
        <v>3273</v>
      </c>
      <c r="C140" s="73"/>
      <c r="D140" s="73"/>
      <c r="E140" s="73"/>
      <c r="F140" s="73"/>
      <c r="G140" s="73"/>
      <c r="H140" s="73"/>
      <c r="I140" s="73"/>
      <c r="J140" s="73"/>
      <c r="K140" s="73"/>
      <c r="L140" s="73"/>
      <c r="M140" s="73"/>
      <c r="N140" s="73"/>
      <c r="O140" s="73"/>
      <c r="P140" s="73"/>
      <c r="Q140" s="73"/>
      <c r="R140" s="73"/>
      <c r="S140" s="73"/>
      <c r="T140" s="73"/>
      <c r="U140" s="74"/>
    </row>
    <row r="141" spans="2:21" s="15" customFormat="1" x14ac:dyDescent="0.25">
      <c r="B141" s="72" t="s">
        <v>3274</v>
      </c>
      <c r="C141" s="73"/>
      <c r="D141" s="73"/>
      <c r="E141" s="73"/>
      <c r="F141" s="73"/>
      <c r="G141" s="73"/>
      <c r="H141" s="73"/>
      <c r="I141" s="73"/>
      <c r="J141" s="73"/>
      <c r="K141" s="73"/>
      <c r="L141" s="73"/>
      <c r="M141" s="73"/>
      <c r="N141" s="73"/>
      <c r="O141" s="73"/>
      <c r="P141" s="73"/>
      <c r="Q141" s="73"/>
      <c r="R141" s="73"/>
      <c r="S141" s="73"/>
      <c r="T141" s="73"/>
      <c r="U141" s="74"/>
    </row>
    <row r="142" spans="2:21" s="15" customFormat="1" x14ac:dyDescent="0.25">
      <c r="B142" s="72" t="s">
        <v>3275</v>
      </c>
      <c r="C142" s="73"/>
      <c r="D142" s="73"/>
      <c r="E142" s="73"/>
      <c r="F142" s="73"/>
      <c r="G142" s="73"/>
      <c r="H142" s="73"/>
      <c r="I142" s="73"/>
      <c r="J142" s="73"/>
      <c r="K142" s="73"/>
      <c r="L142" s="73"/>
      <c r="M142" s="73"/>
      <c r="N142" s="73"/>
      <c r="O142" s="73"/>
      <c r="P142" s="73"/>
      <c r="Q142" s="73"/>
      <c r="R142" s="73"/>
      <c r="S142" s="73"/>
      <c r="T142" s="73"/>
      <c r="U142" s="74"/>
    </row>
    <row r="143" spans="2:21" s="15" customFormat="1" x14ac:dyDescent="0.25">
      <c r="B143" s="72" t="s">
        <v>3276</v>
      </c>
      <c r="C143" s="73"/>
      <c r="D143" s="73"/>
      <c r="E143" s="73"/>
      <c r="F143" s="73"/>
      <c r="G143" s="73"/>
      <c r="H143" s="73"/>
      <c r="I143" s="73"/>
      <c r="J143" s="73"/>
      <c r="K143" s="73"/>
      <c r="L143" s="73"/>
      <c r="M143" s="73"/>
      <c r="N143" s="73"/>
      <c r="O143" s="73"/>
      <c r="P143" s="73"/>
      <c r="Q143" s="73"/>
      <c r="R143" s="73"/>
      <c r="S143" s="73"/>
      <c r="T143" s="73"/>
      <c r="U143" s="74"/>
    </row>
    <row r="144" spans="2:21" s="15" customFormat="1" x14ac:dyDescent="0.25">
      <c r="B144" s="72" t="s">
        <v>3277</v>
      </c>
      <c r="C144" s="73"/>
      <c r="D144" s="73"/>
      <c r="E144" s="73"/>
      <c r="F144" s="73"/>
      <c r="G144" s="73"/>
      <c r="H144" s="73"/>
      <c r="I144" s="73"/>
      <c r="J144" s="73"/>
      <c r="K144" s="73"/>
      <c r="L144" s="73"/>
      <c r="M144" s="73"/>
      <c r="N144" s="73"/>
      <c r="O144" s="73"/>
      <c r="P144" s="73"/>
      <c r="Q144" s="73"/>
      <c r="R144" s="73"/>
      <c r="S144" s="73"/>
      <c r="T144" s="73"/>
      <c r="U144" s="74"/>
    </row>
    <row r="145" spans="2:21" s="15" customFormat="1" x14ac:dyDescent="0.25">
      <c r="B145" s="72" t="s">
        <v>3278</v>
      </c>
      <c r="C145" s="73"/>
      <c r="D145" s="73"/>
      <c r="E145" s="73"/>
      <c r="F145" s="73"/>
      <c r="G145" s="73"/>
      <c r="H145" s="73"/>
      <c r="I145" s="73"/>
      <c r="J145" s="73"/>
      <c r="K145" s="73"/>
      <c r="L145" s="73"/>
      <c r="M145" s="73"/>
      <c r="N145" s="73"/>
      <c r="O145" s="73"/>
      <c r="P145" s="73"/>
      <c r="Q145" s="73"/>
      <c r="R145" s="73"/>
      <c r="S145" s="73"/>
      <c r="T145" s="73"/>
      <c r="U145" s="74"/>
    </row>
    <row r="146" spans="2:21" s="15" customFormat="1" x14ac:dyDescent="0.25">
      <c r="B146" s="72" t="s">
        <v>3279</v>
      </c>
      <c r="C146" s="73"/>
      <c r="D146" s="73"/>
      <c r="E146" s="73"/>
      <c r="F146" s="73"/>
      <c r="G146" s="73"/>
      <c r="H146" s="73"/>
      <c r="I146" s="73"/>
      <c r="J146" s="73"/>
      <c r="K146" s="73"/>
      <c r="L146" s="73"/>
      <c r="M146" s="73"/>
      <c r="N146" s="73"/>
      <c r="O146" s="73"/>
      <c r="P146" s="73"/>
      <c r="Q146" s="73"/>
      <c r="R146" s="73"/>
      <c r="S146" s="73"/>
      <c r="T146" s="73"/>
      <c r="U146" s="74"/>
    </row>
    <row r="147" spans="2:21" s="15" customFormat="1" x14ac:dyDescent="0.25">
      <c r="B147" s="72" t="s">
        <v>3058</v>
      </c>
      <c r="C147" s="73"/>
      <c r="D147" s="73"/>
      <c r="E147" s="73"/>
      <c r="F147" s="73"/>
      <c r="G147" s="73"/>
      <c r="H147" s="73"/>
      <c r="I147" s="73"/>
      <c r="J147" s="73"/>
      <c r="K147" s="73"/>
      <c r="L147" s="73"/>
      <c r="M147" s="73"/>
      <c r="N147" s="73"/>
      <c r="O147" s="73"/>
      <c r="P147" s="73"/>
      <c r="Q147" s="73"/>
      <c r="R147" s="73"/>
      <c r="S147" s="73"/>
      <c r="T147" s="73"/>
      <c r="U147" s="74"/>
    </row>
    <row r="148" spans="2:21" s="15" customFormat="1" x14ac:dyDescent="0.25">
      <c r="B148" s="72" t="s">
        <v>3162</v>
      </c>
      <c r="C148" s="73"/>
      <c r="D148" s="73"/>
      <c r="E148" s="73"/>
      <c r="F148" s="73"/>
      <c r="G148" s="73"/>
      <c r="H148" s="73"/>
      <c r="I148" s="73"/>
      <c r="J148" s="73"/>
      <c r="K148" s="73"/>
      <c r="L148" s="73"/>
      <c r="M148" s="73"/>
      <c r="N148" s="73"/>
      <c r="O148" s="73"/>
      <c r="P148" s="73"/>
      <c r="Q148" s="73"/>
      <c r="R148" s="73"/>
      <c r="S148" s="73"/>
      <c r="T148" s="73"/>
      <c r="U148" s="74"/>
    </row>
    <row r="149" spans="2:21" s="15" customFormat="1" x14ac:dyDescent="0.25">
      <c r="B149" s="72" t="s">
        <v>3085</v>
      </c>
      <c r="C149" s="73"/>
      <c r="D149" s="73"/>
      <c r="E149" s="73"/>
      <c r="F149" s="73"/>
      <c r="G149" s="73"/>
      <c r="H149" s="73"/>
      <c r="I149" s="73"/>
      <c r="J149" s="73"/>
      <c r="K149" s="73"/>
      <c r="L149" s="73"/>
      <c r="M149" s="73"/>
      <c r="N149" s="73"/>
      <c r="O149" s="73"/>
      <c r="P149" s="73"/>
      <c r="Q149" s="73"/>
      <c r="R149" s="73"/>
      <c r="S149" s="73"/>
      <c r="T149" s="73"/>
      <c r="U149" s="74"/>
    </row>
    <row r="150" spans="2:21" s="15" customFormat="1" x14ac:dyDescent="0.25">
      <c r="B150" s="72" t="s">
        <v>3163</v>
      </c>
      <c r="C150" s="73"/>
      <c r="D150" s="73"/>
      <c r="E150" s="73"/>
      <c r="F150" s="73"/>
      <c r="G150" s="73"/>
      <c r="H150" s="73"/>
      <c r="I150" s="73"/>
      <c r="J150" s="73"/>
      <c r="K150" s="73"/>
      <c r="L150" s="73"/>
      <c r="M150" s="73"/>
      <c r="N150" s="73"/>
      <c r="O150" s="73"/>
      <c r="P150" s="73"/>
      <c r="Q150" s="73"/>
      <c r="R150" s="73"/>
      <c r="S150" s="73"/>
      <c r="T150" s="73"/>
      <c r="U150" s="74"/>
    </row>
    <row r="151" spans="2:21" s="15" customFormat="1" x14ac:dyDescent="0.25">
      <c r="B151" s="72" t="s">
        <v>3280</v>
      </c>
      <c r="C151" s="73"/>
      <c r="D151" s="73"/>
      <c r="E151" s="73"/>
      <c r="F151" s="73"/>
      <c r="G151" s="73"/>
      <c r="H151" s="73"/>
      <c r="I151" s="73"/>
      <c r="J151" s="73"/>
      <c r="K151" s="73"/>
      <c r="L151" s="73"/>
      <c r="M151" s="73"/>
      <c r="N151" s="73"/>
      <c r="O151" s="73"/>
      <c r="P151" s="73"/>
      <c r="Q151" s="73"/>
      <c r="R151" s="73"/>
      <c r="S151" s="73"/>
      <c r="T151" s="73"/>
      <c r="U151" s="74"/>
    </row>
    <row r="152" spans="2:21" s="15" customFormat="1" x14ac:dyDescent="0.25">
      <c r="B152" s="72" t="s">
        <v>3083</v>
      </c>
      <c r="C152" s="73"/>
      <c r="D152" s="73"/>
      <c r="E152" s="73"/>
      <c r="F152" s="73"/>
      <c r="G152" s="73"/>
      <c r="H152" s="73"/>
      <c r="I152" s="73"/>
      <c r="J152" s="73"/>
      <c r="K152" s="73"/>
      <c r="L152" s="73"/>
      <c r="M152" s="73"/>
      <c r="N152" s="73"/>
      <c r="O152" s="73"/>
      <c r="P152" s="73"/>
      <c r="Q152" s="73"/>
      <c r="R152" s="73"/>
      <c r="S152" s="73"/>
      <c r="T152" s="73"/>
      <c r="U152" s="74"/>
    </row>
    <row r="153" spans="2:21" s="15" customFormat="1" x14ac:dyDescent="0.25">
      <c r="B153" s="72" t="s">
        <v>3093</v>
      </c>
      <c r="C153" s="73"/>
      <c r="D153" s="73"/>
      <c r="E153" s="73"/>
      <c r="F153" s="73"/>
      <c r="G153" s="73"/>
      <c r="H153" s="73"/>
      <c r="I153" s="73"/>
      <c r="J153" s="73"/>
      <c r="K153" s="73"/>
      <c r="L153" s="73"/>
      <c r="M153" s="73"/>
      <c r="N153" s="73"/>
      <c r="O153" s="73"/>
      <c r="P153" s="73"/>
      <c r="Q153" s="73"/>
      <c r="R153" s="73"/>
      <c r="S153" s="73"/>
      <c r="T153" s="73"/>
      <c r="U153" s="74"/>
    </row>
    <row r="154" spans="2:21" s="15" customFormat="1" x14ac:dyDescent="0.25">
      <c r="B154" s="72" t="s">
        <v>3165</v>
      </c>
      <c r="C154" s="73"/>
      <c r="D154" s="73"/>
      <c r="E154" s="73"/>
      <c r="F154" s="73"/>
      <c r="G154" s="73"/>
      <c r="H154" s="73"/>
      <c r="I154" s="73"/>
      <c r="J154" s="73"/>
      <c r="K154" s="73"/>
      <c r="L154" s="73"/>
      <c r="M154" s="73"/>
      <c r="N154" s="73"/>
      <c r="O154" s="73"/>
      <c r="P154" s="73"/>
      <c r="Q154" s="73"/>
      <c r="R154" s="73"/>
      <c r="S154" s="73"/>
      <c r="T154" s="73"/>
      <c r="U154" s="74"/>
    </row>
    <row r="155" spans="2:21" s="15" customFormat="1" x14ac:dyDescent="0.25">
      <c r="B155" s="72" t="s">
        <v>3085</v>
      </c>
      <c r="C155" s="73"/>
      <c r="D155" s="73"/>
      <c r="E155" s="73"/>
      <c r="F155" s="73"/>
      <c r="G155" s="73"/>
      <c r="H155" s="73"/>
      <c r="I155" s="73"/>
      <c r="J155" s="73"/>
      <c r="K155" s="73"/>
      <c r="L155" s="73"/>
      <c r="M155" s="73"/>
      <c r="N155" s="73"/>
      <c r="O155" s="73"/>
      <c r="P155" s="73"/>
      <c r="Q155" s="73"/>
      <c r="R155" s="73"/>
      <c r="S155" s="73"/>
      <c r="T155" s="73"/>
      <c r="U155" s="74"/>
    </row>
    <row r="156" spans="2:21" s="15" customFormat="1" x14ac:dyDescent="0.25">
      <c r="B156" s="72" t="s">
        <v>3281</v>
      </c>
      <c r="C156" s="73"/>
      <c r="D156" s="73"/>
      <c r="E156" s="73"/>
      <c r="F156" s="73"/>
      <c r="G156" s="73"/>
      <c r="H156" s="73"/>
      <c r="I156" s="73"/>
      <c r="J156" s="73"/>
      <c r="K156" s="73"/>
      <c r="L156" s="73"/>
      <c r="M156" s="73"/>
      <c r="N156" s="73"/>
      <c r="O156" s="73"/>
      <c r="P156" s="73"/>
      <c r="Q156" s="73"/>
      <c r="R156" s="73"/>
      <c r="S156" s="73"/>
      <c r="T156" s="73"/>
      <c r="U156" s="74"/>
    </row>
    <row r="157" spans="2:21" s="15" customFormat="1" x14ac:dyDescent="0.25">
      <c r="B157" s="72" t="s">
        <v>3183</v>
      </c>
      <c r="C157" s="73"/>
      <c r="D157" s="73"/>
      <c r="E157" s="73"/>
      <c r="F157" s="73"/>
      <c r="G157" s="73"/>
      <c r="H157" s="73"/>
      <c r="I157" s="73"/>
      <c r="J157" s="73"/>
      <c r="K157" s="73"/>
      <c r="L157" s="73"/>
      <c r="M157" s="73"/>
      <c r="N157" s="73"/>
      <c r="O157" s="73"/>
      <c r="P157" s="73"/>
      <c r="Q157" s="73"/>
      <c r="R157" s="73"/>
      <c r="S157" s="73"/>
      <c r="T157" s="73"/>
      <c r="U157" s="74"/>
    </row>
    <row r="158" spans="2:21" s="15" customFormat="1" x14ac:dyDescent="0.25">
      <c r="B158" s="72" t="s">
        <v>3168</v>
      </c>
      <c r="C158" s="73"/>
      <c r="D158" s="73"/>
      <c r="E158" s="73"/>
      <c r="F158" s="73"/>
      <c r="G158" s="73"/>
      <c r="H158" s="73"/>
      <c r="I158" s="73"/>
      <c r="J158" s="73"/>
      <c r="K158" s="73"/>
      <c r="L158" s="73"/>
      <c r="M158" s="73"/>
      <c r="N158" s="73"/>
      <c r="O158" s="73"/>
      <c r="P158" s="73"/>
      <c r="Q158" s="73"/>
      <c r="R158" s="73"/>
      <c r="S158" s="73"/>
      <c r="T158" s="73"/>
      <c r="U158" s="74"/>
    </row>
    <row r="159" spans="2:21" s="15" customFormat="1" x14ac:dyDescent="0.25">
      <c r="B159" s="72" t="s">
        <v>3282</v>
      </c>
      <c r="C159" s="73"/>
      <c r="D159" s="73"/>
      <c r="E159" s="73"/>
      <c r="F159" s="73"/>
      <c r="G159" s="73"/>
      <c r="H159" s="73"/>
      <c r="I159" s="73"/>
      <c r="J159" s="73"/>
      <c r="K159" s="73"/>
      <c r="L159" s="73"/>
      <c r="M159" s="73"/>
      <c r="N159" s="73"/>
      <c r="O159" s="73"/>
      <c r="P159" s="73"/>
      <c r="Q159" s="73"/>
      <c r="R159" s="73"/>
      <c r="S159" s="73"/>
      <c r="T159" s="73"/>
      <c r="U159" s="74"/>
    </row>
    <row r="160" spans="2:21" s="15" customFormat="1" x14ac:dyDescent="0.25">
      <c r="B160" s="72" t="s">
        <v>3283</v>
      </c>
      <c r="C160" s="73"/>
      <c r="D160" s="73"/>
      <c r="E160" s="73"/>
      <c r="F160" s="73"/>
      <c r="G160" s="73"/>
      <c r="H160" s="73"/>
      <c r="I160" s="73"/>
      <c r="J160" s="73"/>
      <c r="K160" s="73"/>
      <c r="L160" s="73"/>
      <c r="M160" s="73"/>
      <c r="N160" s="73"/>
      <c r="O160" s="73"/>
      <c r="P160" s="73"/>
      <c r="Q160" s="73"/>
      <c r="R160" s="73"/>
      <c r="S160" s="73"/>
      <c r="T160" s="73"/>
      <c r="U160" s="74"/>
    </row>
    <row r="161" spans="2:21" s="15" customFormat="1" x14ac:dyDescent="0.25">
      <c r="B161" s="72" t="s">
        <v>3284</v>
      </c>
      <c r="C161" s="73"/>
      <c r="D161" s="73"/>
      <c r="E161" s="73"/>
      <c r="F161" s="73"/>
      <c r="G161" s="73"/>
      <c r="H161" s="73"/>
      <c r="I161" s="73"/>
      <c r="J161" s="73"/>
      <c r="K161" s="73"/>
      <c r="L161" s="73"/>
      <c r="M161" s="73"/>
      <c r="N161" s="73"/>
      <c r="O161" s="73"/>
      <c r="P161" s="73"/>
      <c r="Q161" s="73"/>
      <c r="R161" s="73"/>
      <c r="S161" s="73"/>
      <c r="T161" s="73"/>
      <c r="U161" s="74"/>
    </row>
    <row r="162" spans="2:21" s="15" customFormat="1" x14ac:dyDescent="0.25">
      <c r="B162" s="72" t="s">
        <v>3172</v>
      </c>
      <c r="C162" s="73"/>
      <c r="D162" s="73"/>
      <c r="E162" s="73"/>
      <c r="F162" s="73"/>
      <c r="G162" s="73"/>
      <c r="H162" s="73"/>
      <c r="I162" s="73"/>
      <c r="J162" s="73"/>
      <c r="K162" s="73"/>
      <c r="L162" s="73"/>
      <c r="M162" s="73"/>
      <c r="N162" s="73"/>
      <c r="O162" s="73"/>
      <c r="P162" s="73"/>
      <c r="Q162" s="73"/>
      <c r="R162" s="73"/>
      <c r="S162" s="73"/>
      <c r="T162" s="73"/>
      <c r="U162" s="74"/>
    </row>
    <row r="163" spans="2:21" s="15" customFormat="1" x14ac:dyDescent="0.25">
      <c r="B163" s="72" t="s">
        <v>3285</v>
      </c>
      <c r="C163" s="73"/>
      <c r="D163" s="73"/>
      <c r="E163" s="73"/>
      <c r="F163" s="73"/>
      <c r="G163" s="73"/>
      <c r="H163" s="73"/>
      <c r="I163" s="73"/>
      <c r="J163" s="73"/>
      <c r="K163" s="73"/>
      <c r="L163" s="73"/>
      <c r="M163" s="73"/>
      <c r="N163" s="73"/>
      <c r="O163" s="73"/>
      <c r="P163" s="73"/>
      <c r="Q163" s="73"/>
      <c r="R163" s="73"/>
      <c r="S163" s="73"/>
      <c r="T163" s="73"/>
      <c r="U163" s="74"/>
    </row>
    <row r="164" spans="2:21" s="15" customFormat="1" x14ac:dyDescent="0.25">
      <c r="B164" s="72" t="s">
        <v>3286</v>
      </c>
      <c r="C164" s="73"/>
      <c r="D164" s="73"/>
      <c r="E164" s="73"/>
      <c r="F164" s="73"/>
      <c r="G164" s="73"/>
      <c r="H164" s="73"/>
      <c r="I164" s="73"/>
      <c r="J164" s="73"/>
      <c r="K164" s="73"/>
      <c r="L164" s="73"/>
      <c r="M164" s="73"/>
      <c r="N164" s="73"/>
      <c r="O164" s="73"/>
      <c r="P164" s="73"/>
      <c r="Q164" s="73"/>
      <c r="R164" s="73"/>
      <c r="S164" s="73"/>
      <c r="T164" s="73"/>
      <c r="U164" s="74"/>
    </row>
    <row r="165" spans="2:21" s="15" customFormat="1" x14ac:dyDescent="0.25">
      <c r="B165" s="72" t="s">
        <v>3287</v>
      </c>
      <c r="C165" s="73"/>
      <c r="D165" s="73"/>
      <c r="E165" s="73"/>
      <c r="F165" s="73"/>
      <c r="G165" s="73"/>
      <c r="H165" s="73"/>
      <c r="I165" s="73"/>
      <c r="J165" s="73"/>
      <c r="K165" s="73"/>
      <c r="L165" s="73"/>
      <c r="M165" s="73"/>
      <c r="N165" s="73"/>
      <c r="O165" s="73"/>
      <c r="P165" s="73"/>
      <c r="Q165" s="73"/>
      <c r="R165" s="73"/>
      <c r="S165" s="73"/>
      <c r="T165" s="73"/>
      <c r="U165" s="74"/>
    </row>
    <row r="166" spans="2:21" s="15" customFormat="1" x14ac:dyDescent="0.25">
      <c r="B166" s="72" t="s">
        <v>3176</v>
      </c>
      <c r="C166" s="73"/>
      <c r="D166" s="73"/>
      <c r="E166" s="73"/>
      <c r="F166" s="73"/>
      <c r="G166" s="73"/>
      <c r="H166" s="73"/>
      <c r="I166" s="73"/>
      <c r="J166" s="73"/>
      <c r="K166" s="73"/>
      <c r="L166" s="73"/>
      <c r="M166" s="73"/>
      <c r="N166" s="73"/>
      <c r="O166" s="73"/>
      <c r="P166" s="73"/>
      <c r="Q166" s="73"/>
      <c r="R166" s="73"/>
      <c r="S166" s="73"/>
      <c r="T166" s="73"/>
      <c r="U166" s="74"/>
    </row>
    <row r="167" spans="2:21" s="15" customFormat="1" x14ac:dyDescent="0.25">
      <c r="B167" s="72" t="s">
        <v>3288</v>
      </c>
      <c r="C167" s="73"/>
      <c r="D167" s="73"/>
      <c r="E167" s="73"/>
      <c r="F167" s="73"/>
      <c r="G167" s="73"/>
      <c r="H167" s="73"/>
      <c r="I167" s="73"/>
      <c r="J167" s="73"/>
      <c r="K167" s="73"/>
      <c r="L167" s="73"/>
      <c r="M167" s="73"/>
      <c r="N167" s="73"/>
      <c r="O167" s="73"/>
      <c r="P167" s="73"/>
      <c r="Q167" s="73"/>
      <c r="R167" s="73"/>
      <c r="S167" s="73"/>
      <c r="T167" s="73"/>
      <c r="U167" s="74"/>
    </row>
    <row r="168" spans="2:21" s="15" customFormat="1" x14ac:dyDescent="0.25">
      <c r="B168" s="72" t="s">
        <v>3289</v>
      </c>
      <c r="C168" s="73"/>
      <c r="D168" s="73"/>
      <c r="E168" s="73"/>
      <c r="F168" s="73"/>
      <c r="G168" s="73"/>
      <c r="H168" s="73"/>
      <c r="I168" s="73"/>
      <c r="J168" s="73"/>
      <c r="K168" s="73"/>
      <c r="L168" s="73"/>
      <c r="M168" s="73"/>
      <c r="N168" s="73"/>
      <c r="O168" s="73"/>
      <c r="P168" s="73"/>
      <c r="Q168" s="73"/>
      <c r="R168" s="73"/>
      <c r="S168" s="73"/>
      <c r="T168" s="73"/>
      <c r="U168" s="74"/>
    </row>
    <row r="169" spans="2:21" s="15" customFormat="1" x14ac:dyDescent="0.25">
      <c r="B169" s="72" t="s">
        <v>3290</v>
      </c>
      <c r="C169" s="73"/>
      <c r="D169" s="73"/>
      <c r="E169" s="73"/>
      <c r="F169" s="73"/>
      <c r="G169" s="73"/>
      <c r="H169" s="73"/>
      <c r="I169" s="73"/>
      <c r="J169" s="73"/>
      <c r="K169" s="73"/>
      <c r="L169" s="73"/>
      <c r="M169" s="73"/>
      <c r="N169" s="73"/>
      <c r="O169" s="73"/>
      <c r="P169" s="73"/>
      <c r="Q169" s="73"/>
      <c r="R169" s="73"/>
      <c r="S169" s="73"/>
      <c r="T169" s="73"/>
      <c r="U169" s="74"/>
    </row>
    <row r="170" spans="2:21" s="15" customFormat="1" x14ac:dyDescent="0.25">
      <c r="B170" s="72" t="s">
        <v>3180</v>
      </c>
      <c r="C170" s="73"/>
      <c r="D170" s="73"/>
      <c r="E170" s="73"/>
      <c r="F170" s="73"/>
      <c r="G170" s="73"/>
      <c r="H170" s="73"/>
      <c r="I170" s="73"/>
      <c r="J170" s="73"/>
      <c r="K170" s="73"/>
      <c r="L170" s="73"/>
      <c r="M170" s="73"/>
      <c r="N170" s="73"/>
      <c r="O170" s="73"/>
      <c r="P170" s="73"/>
      <c r="Q170" s="73"/>
      <c r="R170" s="73"/>
      <c r="S170" s="73"/>
      <c r="T170" s="73"/>
      <c r="U170" s="74"/>
    </row>
    <row r="171" spans="2:21" s="15" customFormat="1" x14ac:dyDescent="0.25">
      <c r="B171" s="72" t="s">
        <v>3181</v>
      </c>
      <c r="C171" s="73"/>
      <c r="D171" s="73"/>
      <c r="E171" s="73"/>
      <c r="F171" s="73"/>
      <c r="G171" s="73"/>
      <c r="H171" s="73"/>
      <c r="I171" s="73"/>
      <c r="J171" s="73"/>
      <c r="K171" s="73"/>
      <c r="L171" s="73"/>
      <c r="M171" s="73"/>
      <c r="N171" s="73"/>
      <c r="O171" s="73"/>
      <c r="P171" s="73"/>
      <c r="Q171" s="73"/>
      <c r="R171" s="73"/>
      <c r="S171" s="73"/>
      <c r="T171" s="73"/>
      <c r="U171" s="74"/>
    </row>
    <row r="172" spans="2:21" s="15" customFormat="1" x14ac:dyDescent="0.25">
      <c r="B172" s="72" t="s">
        <v>3085</v>
      </c>
      <c r="C172" s="73"/>
      <c r="D172" s="73"/>
      <c r="E172" s="73"/>
      <c r="F172" s="73"/>
      <c r="G172" s="73"/>
      <c r="H172" s="73"/>
      <c r="I172" s="73"/>
      <c r="J172" s="73"/>
      <c r="K172" s="73"/>
      <c r="L172" s="73"/>
      <c r="M172" s="73"/>
      <c r="N172" s="73"/>
      <c r="O172" s="73"/>
      <c r="P172" s="73"/>
      <c r="Q172" s="73"/>
      <c r="R172" s="73"/>
      <c r="S172" s="73"/>
      <c r="T172" s="73"/>
      <c r="U172" s="74"/>
    </row>
    <row r="173" spans="2:21" s="15" customFormat="1" x14ac:dyDescent="0.25">
      <c r="B173" s="72" t="s">
        <v>3281</v>
      </c>
      <c r="C173" s="73"/>
      <c r="D173" s="73"/>
      <c r="E173" s="73"/>
      <c r="F173" s="73"/>
      <c r="G173" s="73"/>
      <c r="H173" s="73"/>
      <c r="I173" s="73"/>
      <c r="J173" s="73"/>
      <c r="K173" s="73"/>
      <c r="L173" s="73"/>
      <c r="M173" s="73"/>
      <c r="N173" s="73"/>
      <c r="O173" s="73"/>
      <c r="P173" s="73"/>
      <c r="Q173" s="73"/>
      <c r="R173" s="73"/>
      <c r="S173" s="73"/>
      <c r="T173" s="73"/>
      <c r="U173" s="74"/>
    </row>
    <row r="174" spans="2:21" s="15" customFormat="1" x14ac:dyDescent="0.25">
      <c r="B174" s="72" t="s">
        <v>3203</v>
      </c>
      <c r="C174" s="73"/>
      <c r="D174" s="73"/>
      <c r="E174" s="73"/>
      <c r="F174" s="73"/>
      <c r="G174" s="73"/>
      <c r="H174" s="73"/>
      <c r="I174" s="73"/>
      <c r="J174" s="73"/>
      <c r="K174" s="73"/>
      <c r="L174" s="73"/>
      <c r="M174" s="73"/>
      <c r="N174" s="73"/>
      <c r="O174" s="73"/>
      <c r="P174" s="73"/>
      <c r="Q174" s="73"/>
      <c r="R174" s="73"/>
      <c r="S174" s="73"/>
      <c r="T174" s="73"/>
      <c r="U174" s="74"/>
    </row>
    <row r="175" spans="2:21" s="15" customFormat="1" x14ac:dyDescent="0.25">
      <c r="B175" s="72" t="s">
        <v>3168</v>
      </c>
      <c r="C175" s="73"/>
      <c r="D175" s="73"/>
      <c r="E175" s="73"/>
      <c r="F175" s="73"/>
      <c r="G175" s="73"/>
      <c r="H175" s="73"/>
      <c r="I175" s="73"/>
      <c r="J175" s="73"/>
      <c r="K175" s="73"/>
      <c r="L175" s="73"/>
      <c r="M175" s="73"/>
      <c r="N175" s="73"/>
      <c r="O175" s="73"/>
      <c r="P175" s="73"/>
      <c r="Q175" s="73"/>
      <c r="R175" s="73"/>
      <c r="S175" s="73"/>
      <c r="T175" s="73"/>
      <c r="U175" s="74"/>
    </row>
    <row r="176" spans="2:21" s="15" customFormat="1" x14ac:dyDescent="0.25">
      <c r="B176" s="72" t="s">
        <v>3169</v>
      </c>
      <c r="C176" s="73"/>
      <c r="D176" s="73"/>
      <c r="E176" s="73"/>
      <c r="F176" s="73"/>
      <c r="G176" s="73"/>
      <c r="H176" s="73"/>
      <c r="I176" s="73"/>
      <c r="J176" s="73"/>
      <c r="K176" s="73"/>
      <c r="L176" s="73"/>
      <c r="M176" s="73"/>
      <c r="N176" s="73"/>
      <c r="O176" s="73"/>
      <c r="P176" s="73"/>
      <c r="Q176" s="73"/>
      <c r="R176" s="73"/>
      <c r="S176" s="73"/>
      <c r="T176" s="73"/>
      <c r="U176" s="74"/>
    </row>
    <row r="177" spans="2:21" s="15" customFormat="1" x14ac:dyDescent="0.25">
      <c r="B177" s="72" t="s">
        <v>3283</v>
      </c>
      <c r="C177" s="73"/>
      <c r="D177" s="73"/>
      <c r="E177" s="73"/>
      <c r="F177" s="73"/>
      <c r="G177" s="73"/>
      <c r="H177" s="73"/>
      <c r="I177" s="73"/>
      <c r="J177" s="73"/>
      <c r="K177" s="73"/>
      <c r="L177" s="73"/>
      <c r="M177" s="73"/>
      <c r="N177" s="73"/>
      <c r="O177" s="73"/>
      <c r="P177" s="73"/>
      <c r="Q177" s="73"/>
      <c r="R177" s="73"/>
      <c r="S177" s="73"/>
      <c r="T177" s="73"/>
      <c r="U177" s="74"/>
    </row>
    <row r="178" spans="2:21" s="15" customFormat="1" x14ac:dyDescent="0.25">
      <c r="B178" s="72" t="s">
        <v>3284</v>
      </c>
      <c r="C178" s="73"/>
      <c r="D178" s="73"/>
      <c r="E178" s="73"/>
      <c r="F178" s="73"/>
      <c r="G178" s="73"/>
      <c r="H178" s="73"/>
      <c r="I178" s="73"/>
      <c r="J178" s="73"/>
      <c r="K178" s="73"/>
      <c r="L178" s="73"/>
      <c r="M178" s="73"/>
      <c r="N178" s="73"/>
      <c r="O178" s="73"/>
      <c r="P178" s="73"/>
      <c r="Q178" s="73"/>
      <c r="R178" s="73"/>
      <c r="S178" s="73"/>
      <c r="T178" s="73"/>
      <c r="U178" s="74"/>
    </row>
    <row r="179" spans="2:21" s="15" customFormat="1" x14ac:dyDescent="0.25">
      <c r="B179" s="72" t="s">
        <v>3172</v>
      </c>
      <c r="C179" s="73"/>
      <c r="D179" s="73"/>
      <c r="E179" s="73"/>
      <c r="F179" s="73"/>
      <c r="G179" s="73"/>
      <c r="H179" s="73"/>
      <c r="I179" s="73"/>
      <c r="J179" s="73"/>
      <c r="K179" s="73"/>
      <c r="L179" s="73"/>
      <c r="M179" s="73"/>
      <c r="N179" s="73"/>
      <c r="O179" s="73"/>
      <c r="P179" s="73"/>
      <c r="Q179" s="73"/>
      <c r="R179" s="73"/>
      <c r="S179" s="73"/>
      <c r="T179" s="73"/>
      <c r="U179" s="74"/>
    </row>
    <row r="180" spans="2:21" s="15" customFormat="1" x14ac:dyDescent="0.25">
      <c r="B180" s="72" t="s">
        <v>3285</v>
      </c>
      <c r="C180" s="73"/>
      <c r="D180" s="73"/>
      <c r="E180" s="73"/>
      <c r="F180" s="73"/>
      <c r="G180" s="73"/>
      <c r="H180" s="73"/>
      <c r="I180" s="73"/>
      <c r="J180" s="73"/>
      <c r="K180" s="73"/>
      <c r="L180" s="73"/>
      <c r="M180" s="73"/>
      <c r="N180" s="73"/>
      <c r="O180" s="73"/>
      <c r="P180" s="73"/>
      <c r="Q180" s="73"/>
      <c r="R180" s="73"/>
      <c r="S180" s="73"/>
      <c r="T180" s="73"/>
      <c r="U180" s="74"/>
    </row>
    <row r="181" spans="2:21" s="15" customFormat="1" x14ac:dyDescent="0.25">
      <c r="B181" s="72" t="s">
        <v>3286</v>
      </c>
      <c r="C181" s="73"/>
      <c r="D181" s="73"/>
      <c r="E181" s="73"/>
      <c r="F181" s="73"/>
      <c r="G181" s="73"/>
      <c r="H181" s="73"/>
      <c r="I181" s="73"/>
      <c r="J181" s="73"/>
      <c r="K181" s="73"/>
      <c r="L181" s="73"/>
      <c r="M181" s="73"/>
      <c r="N181" s="73"/>
      <c r="O181" s="73"/>
      <c r="P181" s="73"/>
      <c r="Q181" s="73"/>
      <c r="R181" s="73"/>
      <c r="S181" s="73"/>
      <c r="T181" s="73"/>
      <c r="U181" s="74"/>
    </row>
    <row r="182" spans="2:21" s="15" customFormat="1" x14ac:dyDescent="0.25">
      <c r="B182" s="72" t="s">
        <v>3291</v>
      </c>
      <c r="C182" s="73"/>
      <c r="D182" s="73"/>
      <c r="E182" s="73"/>
      <c r="F182" s="73"/>
      <c r="G182" s="73"/>
      <c r="H182" s="73"/>
      <c r="I182" s="73"/>
      <c r="J182" s="73"/>
      <c r="K182" s="73"/>
      <c r="L182" s="73"/>
      <c r="M182" s="73"/>
      <c r="N182" s="73"/>
      <c r="O182" s="73"/>
      <c r="P182" s="73"/>
      <c r="Q182" s="73"/>
      <c r="R182" s="73"/>
      <c r="S182" s="73"/>
      <c r="T182" s="73"/>
      <c r="U182" s="74"/>
    </row>
    <row r="183" spans="2:21" s="15" customFormat="1" x14ac:dyDescent="0.25">
      <c r="B183" s="72" t="s">
        <v>3292</v>
      </c>
      <c r="C183" s="73"/>
      <c r="D183" s="73"/>
      <c r="E183" s="73"/>
      <c r="F183" s="73"/>
      <c r="G183" s="73"/>
      <c r="H183" s="73"/>
      <c r="I183" s="73"/>
      <c r="J183" s="73"/>
      <c r="K183" s="73"/>
      <c r="L183" s="73"/>
      <c r="M183" s="73"/>
      <c r="N183" s="73"/>
      <c r="O183" s="73"/>
      <c r="P183" s="73"/>
      <c r="Q183" s="73"/>
      <c r="R183" s="73"/>
      <c r="S183" s="73"/>
      <c r="T183" s="73"/>
      <c r="U183" s="74"/>
    </row>
    <row r="184" spans="2:21" s="15" customFormat="1" x14ac:dyDescent="0.25">
      <c r="B184" s="72" t="s">
        <v>3288</v>
      </c>
      <c r="C184" s="73"/>
      <c r="D184" s="73"/>
      <c r="E184" s="73"/>
      <c r="F184" s="73"/>
      <c r="G184" s="73"/>
      <c r="H184" s="73"/>
      <c r="I184" s="73"/>
      <c r="J184" s="73"/>
      <c r="K184" s="73"/>
      <c r="L184" s="73"/>
      <c r="M184" s="73"/>
      <c r="N184" s="73"/>
      <c r="O184" s="73"/>
      <c r="P184" s="73"/>
      <c r="Q184" s="73"/>
      <c r="R184" s="73"/>
      <c r="S184" s="73"/>
      <c r="T184" s="73"/>
      <c r="U184" s="74"/>
    </row>
    <row r="185" spans="2:21" s="15" customFormat="1" x14ac:dyDescent="0.25">
      <c r="B185" s="72" t="s">
        <v>3289</v>
      </c>
      <c r="C185" s="73"/>
      <c r="D185" s="73"/>
      <c r="E185" s="73"/>
      <c r="F185" s="73"/>
      <c r="G185" s="73"/>
      <c r="H185" s="73"/>
      <c r="I185" s="73"/>
      <c r="J185" s="73"/>
      <c r="K185" s="73"/>
      <c r="L185" s="73"/>
      <c r="M185" s="73"/>
      <c r="N185" s="73"/>
      <c r="O185" s="73"/>
      <c r="P185" s="73"/>
      <c r="Q185" s="73"/>
      <c r="R185" s="73"/>
      <c r="S185" s="73"/>
      <c r="T185" s="73"/>
      <c r="U185" s="74"/>
    </row>
    <row r="186" spans="2:21" s="15" customFormat="1" x14ac:dyDescent="0.25">
      <c r="B186" s="72" t="s">
        <v>3290</v>
      </c>
      <c r="C186" s="73"/>
      <c r="D186" s="73"/>
      <c r="E186" s="73"/>
      <c r="F186" s="73"/>
      <c r="G186" s="73"/>
      <c r="H186" s="73"/>
      <c r="I186" s="73"/>
      <c r="J186" s="73"/>
      <c r="K186" s="73"/>
      <c r="L186" s="73"/>
      <c r="M186" s="73"/>
      <c r="N186" s="73"/>
      <c r="O186" s="73"/>
      <c r="P186" s="73"/>
      <c r="Q186" s="73"/>
      <c r="R186" s="73"/>
      <c r="S186" s="73"/>
      <c r="T186" s="73"/>
      <c r="U186" s="74"/>
    </row>
    <row r="187" spans="2:21" s="15" customFormat="1" x14ac:dyDescent="0.25">
      <c r="B187" s="72" t="s">
        <v>3293</v>
      </c>
      <c r="C187" s="73"/>
      <c r="D187" s="73"/>
      <c r="E187" s="73"/>
      <c r="F187" s="73"/>
      <c r="G187" s="73"/>
      <c r="H187" s="73"/>
      <c r="I187" s="73"/>
      <c r="J187" s="73"/>
      <c r="K187" s="73"/>
      <c r="L187" s="73"/>
      <c r="M187" s="73"/>
      <c r="N187" s="73"/>
      <c r="O187" s="73"/>
      <c r="P187" s="73"/>
      <c r="Q187" s="73"/>
      <c r="R187" s="73"/>
      <c r="S187" s="73"/>
      <c r="T187" s="73"/>
      <c r="U187" s="74"/>
    </row>
    <row r="188" spans="2:21" s="15" customFormat="1" x14ac:dyDescent="0.25">
      <c r="B188" s="72" t="s">
        <v>3181</v>
      </c>
      <c r="C188" s="73"/>
      <c r="D188" s="73"/>
      <c r="E188" s="73"/>
      <c r="F188" s="73"/>
      <c r="G188" s="73"/>
      <c r="H188" s="73"/>
      <c r="I188" s="73"/>
      <c r="J188" s="73"/>
      <c r="K188" s="73"/>
      <c r="L188" s="73"/>
      <c r="M188" s="73"/>
      <c r="N188" s="73"/>
      <c r="O188" s="73"/>
      <c r="P188" s="73"/>
      <c r="Q188" s="73"/>
      <c r="R188" s="73"/>
      <c r="S188" s="73"/>
      <c r="T188" s="73"/>
      <c r="U188" s="74"/>
    </row>
    <row r="189" spans="2:21" s="15" customFormat="1" x14ac:dyDescent="0.25">
      <c r="B189" s="72" t="s">
        <v>3085</v>
      </c>
      <c r="C189" s="73"/>
      <c r="D189" s="73"/>
      <c r="E189" s="73"/>
      <c r="F189" s="73"/>
      <c r="G189" s="73"/>
      <c r="H189" s="73"/>
      <c r="I189" s="73"/>
      <c r="J189" s="73"/>
      <c r="K189" s="73"/>
      <c r="L189" s="73"/>
      <c r="M189" s="73"/>
      <c r="N189" s="73"/>
      <c r="O189" s="73"/>
      <c r="P189" s="73"/>
      <c r="Q189" s="73"/>
      <c r="R189" s="73"/>
      <c r="S189" s="73"/>
      <c r="T189" s="73"/>
      <c r="U189" s="74"/>
    </row>
    <row r="190" spans="2:21" s="15" customFormat="1" x14ac:dyDescent="0.25">
      <c r="B190" s="72" t="s">
        <v>3281</v>
      </c>
      <c r="C190" s="73"/>
      <c r="D190" s="73"/>
      <c r="E190" s="73"/>
      <c r="F190" s="73"/>
      <c r="G190" s="73"/>
      <c r="H190" s="73"/>
      <c r="I190" s="73"/>
      <c r="J190" s="73"/>
      <c r="K190" s="73"/>
      <c r="L190" s="73"/>
      <c r="M190" s="73"/>
      <c r="N190" s="73"/>
      <c r="O190" s="73"/>
      <c r="P190" s="73"/>
      <c r="Q190" s="73"/>
      <c r="R190" s="73"/>
      <c r="S190" s="73"/>
      <c r="T190" s="73"/>
      <c r="U190" s="74"/>
    </row>
    <row r="191" spans="2:21" s="15" customFormat="1" x14ac:dyDescent="0.25">
      <c r="B191" s="72" t="s">
        <v>3167</v>
      </c>
      <c r="C191" s="73"/>
      <c r="D191" s="73"/>
      <c r="E191" s="73"/>
      <c r="F191" s="73"/>
      <c r="G191" s="73"/>
      <c r="H191" s="73"/>
      <c r="I191" s="73"/>
      <c r="J191" s="73"/>
      <c r="K191" s="73"/>
      <c r="L191" s="73"/>
      <c r="M191" s="73"/>
      <c r="N191" s="73"/>
      <c r="O191" s="73"/>
      <c r="P191" s="73"/>
      <c r="Q191" s="73"/>
      <c r="R191" s="73"/>
      <c r="S191" s="73"/>
      <c r="T191" s="73"/>
      <c r="U191" s="74"/>
    </row>
    <row r="192" spans="2:21" s="15" customFormat="1" x14ac:dyDescent="0.25">
      <c r="B192" s="72" t="s">
        <v>3168</v>
      </c>
      <c r="C192" s="73"/>
      <c r="D192" s="73"/>
      <c r="E192" s="73"/>
      <c r="F192" s="73"/>
      <c r="G192" s="73"/>
      <c r="H192" s="73"/>
      <c r="I192" s="73"/>
      <c r="J192" s="73"/>
      <c r="K192" s="73"/>
      <c r="L192" s="73"/>
      <c r="M192" s="73"/>
      <c r="N192" s="73"/>
      <c r="O192" s="73"/>
      <c r="P192" s="73"/>
      <c r="Q192" s="73"/>
      <c r="R192" s="73"/>
      <c r="S192" s="73"/>
      <c r="T192" s="73"/>
      <c r="U192" s="74"/>
    </row>
    <row r="193" spans="2:21" s="15" customFormat="1" x14ac:dyDescent="0.25">
      <c r="B193" s="72" t="s">
        <v>3169</v>
      </c>
      <c r="C193" s="73"/>
      <c r="D193" s="73"/>
      <c r="E193" s="73"/>
      <c r="F193" s="73"/>
      <c r="G193" s="73"/>
      <c r="H193" s="73"/>
      <c r="I193" s="73"/>
      <c r="J193" s="73"/>
      <c r="K193" s="73"/>
      <c r="L193" s="73"/>
      <c r="M193" s="73"/>
      <c r="N193" s="73"/>
      <c r="O193" s="73"/>
      <c r="P193" s="73"/>
      <c r="Q193" s="73"/>
      <c r="R193" s="73"/>
      <c r="S193" s="73"/>
      <c r="T193" s="73"/>
      <c r="U193" s="74"/>
    </row>
    <row r="194" spans="2:21" s="15" customFormat="1" x14ac:dyDescent="0.25">
      <c r="B194" s="72" t="s">
        <v>3283</v>
      </c>
      <c r="C194" s="73"/>
      <c r="D194" s="73"/>
      <c r="E194" s="73"/>
      <c r="F194" s="73"/>
      <c r="G194" s="73"/>
      <c r="H194" s="73"/>
      <c r="I194" s="73"/>
      <c r="J194" s="73"/>
      <c r="K194" s="73"/>
      <c r="L194" s="73"/>
      <c r="M194" s="73"/>
      <c r="N194" s="73"/>
      <c r="O194" s="73"/>
      <c r="P194" s="73"/>
      <c r="Q194" s="73"/>
      <c r="R194" s="73"/>
      <c r="S194" s="73"/>
      <c r="T194" s="73"/>
      <c r="U194" s="74"/>
    </row>
    <row r="195" spans="2:21" s="15" customFormat="1" x14ac:dyDescent="0.25">
      <c r="B195" s="72" t="s">
        <v>3284</v>
      </c>
      <c r="C195" s="73"/>
      <c r="D195" s="73"/>
      <c r="E195" s="73"/>
      <c r="F195" s="73"/>
      <c r="G195" s="73"/>
      <c r="H195" s="73"/>
      <c r="I195" s="73"/>
      <c r="J195" s="73"/>
      <c r="K195" s="73"/>
      <c r="L195" s="73"/>
      <c r="M195" s="73"/>
      <c r="N195" s="73"/>
      <c r="O195" s="73"/>
      <c r="P195" s="73"/>
      <c r="Q195" s="73"/>
      <c r="R195" s="73"/>
      <c r="S195" s="73"/>
      <c r="T195" s="73"/>
      <c r="U195" s="74"/>
    </row>
    <row r="196" spans="2:21" s="15" customFormat="1" x14ac:dyDescent="0.25">
      <c r="B196" s="72" t="s">
        <v>3172</v>
      </c>
      <c r="C196" s="73"/>
      <c r="D196" s="73"/>
      <c r="E196" s="73"/>
      <c r="F196" s="73"/>
      <c r="G196" s="73"/>
      <c r="H196" s="73"/>
      <c r="I196" s="73"/>
      <c r="J196" s="73"/>
      <c r="K196" s="73"/>
      <c r="L196" s="73"/>
      <c r="M196" s="73"/>
      <c r="N196" s="73"/>
      <c r="O196" s="73"/>
      <c r="P196" s="73"/>
      <c r="Q196" s="73"/>
      <c r="R196" s="73"/>
      <c r="S196" s="73"/>
      <c r="T196" s="73"/>
      <c r="U196" s="74"/>
    </row>
    <row r="197" spans="2:21" s="15" customFormat="1" x14ac:dyDescent="0.25">
      <c r="B197" s="72" t="s">
        <v>3285</v>
      </c>
      <c r="C197" s="73"/>
      <c r="D197" s="73"/>
      <c r="E197" s="73"/>
      <c r="F197" s="73"/>
      <c r="G197" s="73"/>
      <c r="H197" s="73"/>
      <c r="I197" s="73"/>
      <c r="J197" s="73"/>
      <c r="K197" s="73"/>
      <c r="L197" s="73"/>
      <c r="M197" s="73"/>
      <c r="N197" s="73"/>
      <c r="O197" s="73"/>
      <c r="P197" s="73"/>
      <c r="Q197" s="73"/>
      <c r="R197" s="73"/>
      <c r="S197" s="73"/>
      <c r="T197" s="73"/>
      <c r="U197" s="74"/>
    </row>
    <row r="198" spans="2:21" s="15" customFormat="1" x14ac:dyDescent="0.25">
      <c r="B198" s="72" t="s">
        <v>3286</v>
      </c>
      <c r="C198" s="73"/>
      <c r="D198" s="73"/>
      <c r="E198" s="73"/>
      <c r="F198" s="73"/>
      <c r="G198" s="73"/>
      <c r="H198" s="73"/>
      <c r="I198" s="73"/>
      <c r="J198" s="73"/>
      <c r="K198" s="73"/>
      <c r="L198" s="73"/>
      <c r="M198" s="73"/>
      <c r="N198" s="73"/>
      <c r="O198" s="73"/>
      <c r="P198" s="73"/>
      <c r="Q198" s="73"/>
      <c r="R198" s="73"/>
      <c r="S198" s="73"/>
      <c r="T198" s="73"/>
      <c r="U198" s="74"/>
    </row>
    <row r="199" spans="2:21" s="15" customFormat="1" x14ac:dyDescent="0.25">
      <c r="B199" s="72" t="s">
        <v>3291</v>
      </c>
      <c r="C199" s="73"/>
      <c r="D199" s="73"/>
      <c r="E199" s="73"/>
      <c r="F199" s="73"/>
      <c r="G199" s="73"/>
      <c r="H199" s="73"/>
      <c r="I199" s="73"/>
      <c r="J199" s="73"/>
      <c r="K199" s="73"/>
      <c r="L199" s="73"/>
      <c r="M199" s="73"/>
      <c r="N199" s="73"/>
      <c r="O199" s="73"/>
      <c r="P199" s="73"/>
      <c r="Q199" s="73"/>
      <c r="R199" s="73"/>
      <c r="S199" s="73"/>
      <c r="T199" s="73"/>
      <c r="U199" s="74"/>
    </row>
    <row r="200" spans="2:21" s="15" customFormat="1" x14ac:dyDescent="0.25">
      <c r="B200" s="72" t="s">
        <v>3176</v>
      </c>
      <c r="C200" s="73"/>
      <c r="D200" s="73"/>
      <c r="E200" s="73"/>
      <c r="F200" s="73"/>
      <c r="G200" s="73"/>
      <c r="H200" s="73"/>
      <c r="I200" s="73"/>
      <c r="J200" s="73"/>
      <c r="K200" s="73"/>
      <c r="L200" s="73"/>
      <c r="M200" s="73"/>
      <c r="N200" s="73"/>
      <c r="O200" s="73"/>
      <c r="P200" s="73"/>
      <c r="Q200" s="73"/>
      <c r="R200" s="73"/>
      <c r="S200" s="73"/>
      <c r="T200" s="73"/>
      <c r="U200" s="74"/>
    </row>
    <row r="201" spans="2:21" s="15" customFormat="1" x14ac:dyDescent="0.25">
      <c r="B201" s="72" t="s">
        <v>3288</v>
      </c>
      <c r="C201" s="73"/>
      <c r="D201" s="73"/>
      <c r="E201" s="73"/>
      <c r="F201" s="73"/>
      <c r="G201" s="73"/>
      <c r="H201" s="73"/>
      <c r="I201" s="73"/>
      <c r="J201" s="73"/>
      <c r="K201" s="73"/>
      <c r="L201" s="73"/>
      <c r="M201" s="73"/>
      <c r="N201" s="73"/>
      <c r="O201" s="73"/>
      <c r="P201" s="73"/>
      <c r="Q201" s="73"/>
      <c r="R201" s="73"/>
      <c r="S201" s="73"/>
      <c r="T201" s="73"/>
      <c r="U201" s="74"/>
    </row>
    <row r="202" spans="2:21" s="15" customFormat="1" x14ac:dyDescent="0.25">
      <c r="B202" s="72" t="s">
        <v>3289</v>
      </c>
      <c r="C202" s="73"/>
      <c r="D202" s="73"/>
      <c r="E202" s="73"/>
      <c r="F202" s="73"/>
      <c r="G202" s="73"/>
      <c r="H202" s="73"/>
      <c r="I202" s="73"/>
      <c r="J202" s="73"/>
      <c r="K202" s="73"/>
      <c r="L202" s="73"/>
      <c r="M202" s="73"/>
      <c r="N202" s="73"/>
      <c r="O202" s="73"/>
      <c r="P202" s="73"/>
      <c r="Q202" s="73"/>
      <c r="R202" s="73"/>
      <c r="S202" s="73"/>
      <c r="T202" s="73"/>
      <c r="U202" s="74"/>
    </row>
    <row r="203" spans="2:21" s="15" customFormat="1" x14ac:dyDescent="0.25">
      <c r="B203" s="72" t="s">
        <v>3294</v>
      </c>
      <c r="C203" s="73"/>
      <c r="D203" s="73"/>
      <c r="E203" s="73"/>
      <c r="F203" s="73"/>
      <c r="G203" s="73"/>
      <c r="H203" s="73"/>
      <c r="I203" s="73"/>
      <c r="J203" s="73"/>
      <c r="K203" s="73"/>
      <c r="L203" s="73"/>
      <c r="M203" s="73"/>
      <c r="N203" s="73"/>
      <c r="O203" s="73"/>
      <c r="P203" s="73"/>
      <c r="Q203" s="73"/>
      <c r="R203" s="73"/>
      <c r="S203" s="73"/>
      <c r="T203" s="73"/>
      <c r="U203" s="74"/>
    </row>
    <row r="204" spans="2:21" s="15" customFormat="1" x14ac:dyDescent="0.25">
      <c r="B204" s="72" t="s">
        <v>3180</v>
      </c>
      <c r="C204" s="73"/>
      <c r="D204" s="73"/>
      <c r="E204" s="73"/>
      <c r="F204" s="73"/>
      <c r="G204" s="73"/>
      <c r="H204" s="73"/>
      <c r="I204" s="73"/>
      <c r="J204" s="73"/>
      <c r="K204" s="73"/>
      <c r="L204" s="73"/>
      <c r="M204" s="73"/>
      <c r="N204" s="73"/>
      <c r="O204" s="73"/>
      <c r="P204" s="73"/>
      <c r="Q204" s="73"/>
      <c r="R204" s="73"/>
      <c r="S204" s="73"/>
      <c r="T204" s="73"/>
      <c r="U204" s="74"/>
    </row>
    <row r="205" spans="2:21" s="15" customFormat="1" x14ac:dyDescent="0.25">
      <c r="B205" s="72" t="s">
        <v>3181</v>
      </c>
      <c r="C205" s="73"/>
      <c r="D205" s="73"/>
      <c r="E205" s="73"/>
      <c r="F205" s="73"/>
      <c r="G205" s="73"/>
      <c r="H205" s="73"/>
      <c r="I205" s="73"/>
      <c r="J205" s="73"/>
      <c r="K205" s="73"/>
      <c r="L205" s="73"/>
      <c r="M205" s="73"/>
      <c r="N205" s="73"/>
      <c r="O205" s="73"/>
      <c r="P205" s="73"/>
      <c r="Q205" s="73"/>
      <c r="R205" s="73"/>
      <c r="S205" s="73"/>
      <c r="T205" s="73"/>
      <c r="U205" s="74"/>
    </row>
    <row r="206" spans="2:21" s="15" customFormat="1" x14ac:dyDescent="0.25">
      <c r="B206" s="72" t="s">
        <v>3085</v>
      </c>
      <c r="C206" s="73"/>
      <c r="D206" s="73"/>
      <c r="E206" s="73"/>
      <c r="F206" s="73"/>
      <c r="G206" s="73"/>
      <c r="H206" s="73"/>
      <c r="I206" s="73"/>
      <c r="J206" s="73"/>
      <c r="K206" s="73"/>
      <c r="L206" s="73"/>
      <c r="M206" s="73"/>
      <c r="N206" s="73"/>
      <c r="O206" s="73"/>
      <c r="P206" s="73"/>
      <c r="Q206" s="73"/>
      <c r="R206" s="73"/>
      <c r="S206" s="73"/>
      <c r="T206" s="73"/>
      <c r="U206" s="74"/>
    </row>
    <row r="207" spans="2:21" s="15" customFormat="1" x14ac:dyDescent="0.25">
      <c r="B207" s="72" t="s">
        <v>3295</v>
      </c>
      <c r="C207" s="73"/>
      <c r="D207" s="73"/>
      <c r="E207" s="73"/>
      <c r="F207" s="73"/>
      <c r="G207" s="73"/>
      <c r="H207" s="73"/>
      <c r="I207" s="73"/>
      <c r="J207" s="73"/>
      <c r="K207" s="73"/>
      <c r="L207" s="73"/>
      <c r="M207" s="73"/>
      <c r="N207" s="73"/>
      <c r="O207" s="73"/>
      <c r="P207" s="73"/>
      <c r="Q207" s="73"/>
      <c r="R207" s="73"/>
      <c r="S207" s="73"/>
      <c r="T207" s="73"/>
      <c r="U207" s="74"/>
    </row>
    <row r="208" spans="2:21" s="15" customFormat="1" x14ac:dyDescent="0.25">
      <c r="B208" s="72" t="s">
        <v>3183</v>
      </c>
      <c r="C208" s="73"/>
      <c r="D208" s="73"/>
      <c r="E208" s="73"/>
      <c r="F208" s="73"/>
      <c r="G208" s="73"/>
      <c r="H208" s="73"/>
      <c r="I208" s="73"/>
      <c r="J208" s="73"/>
      <c r="K208" s="73"/>
      <c r="L208" s="73"/>
      <c r="M208" s="73"/>
      <c r="N208" s="73"/>
      <c r="O208" s="73"/>
      <c r="P208" s="73"/>
      <c r="Q208" s="73"/>
      <c r="R208" s="73"/>
      <c r="S208" s="73"/>
      <c r="T208" s="73"/>
      <c r="U208" s="74"/>
    </row>
    <row r="209" spans="2:21" s="15" customFormat="1" x14ac:dyDescent="0.25">
      <c r="B209" s="72" t="s">
        <v>3168</v>
      </c>
      <c r="C209" s="73"/>
      <c r="D209" s="73"/>
      <c r="E209" s="73"/>
      <c r="F209" s="73"/>
      <c r="G209" s="73"/>
      <c r="H209" s="73"/>
      <c r="I209" s="73"/>
      <c r="J209" s="73"/>
      <c r="K209" s="73"/>
      <c r="L209" s="73"/>
      <c r="M209" s="73"/>
      <c r="N209" s="73"/>
      <c r="O209" s="73"/>
      <c r="P209" s="73"/>
      <c r="Q209" s="73"/>
      <c r="R209" s="73"/>
      <c r="S209" s="73"/>
      <c r="T209" s="73"/>
      <c r="U209" s="74"/>
    </row>
    <row r="210" spans="2:21" s="15" customFormat="1" x14ac:dyDescent="0.25">
      <c r="B210" s="72" t="s">
        <v>3282</v>
      </c>
      <c r="C210" s="73"/>
      <c r="D210" s="73"/>
      <c r="E210" s="73"/>
      <c r="F210" s="73"/>
      <c r="G210" s="73"/>
      <c r="H210" s="73"/>
      <c r="I210" s="73"/>
      <c r="J210" s="73"/>
      <c r="K210" s="73"/>
      <c r="L210" s="73"/>
      <c r="M210" s="73"/>
      <c r="N210" s="73"/>
      <c r="O210" s="73"/>
      <c r="P210" s="73"/>
      <c r="Q210" s="73"/>
      <c r="R210" s="73"/>
      <c r="S210" s="73"/>
      <c r="T210" s="73"/>
      <c r="U210" s="74"/>
    </row>
    <row r="211" spans="2:21" s="15" customFormat="1" x14ac:dyDescent="0.25">
      <c r="B211" s="72" t="s">
        <v>3283</v>
      </c>
      <c r="C211" s="73"/>
      <c r="D211" s="73"/>
      <c r="E211" s="73"/>
      <c r="F211" s="73"/>
      <c r="G211" s="73"/>
      <c r="H211" s="73"/>
      <c r="I211" s="73"/>
      <c r="J211" s="73"/>
      <c r="K211" s="73"/>
      <c r="L211" s="73"/>
      <c r="M211" s="73"/>
      <c r="N211" s="73"/>
      <c r="O211" s="73"/>
      <c r="P211" s="73"/>
      <c r="Q211" s="73"/>
      <c r="R211" s="73"/>
      <c r="S211" s="73"/>
      <c r="T211" s="73"/>
      <c r="U211" s="74"/>
    </row>
    <row r="212" spans="2:21" s="15" customFormat="1" x14ac:dyDescent="0.25">
      <c r="B212" s="72" t="s">
        <v>3284</v>
      </c>
      <c r="C212" s="73"/>
      <c r="D212" s="73"/>
      <c r="E212" s="73"/>
      <c r="F212" s="73"/>
      <c r="G212" s="73"/>
      <c r="H212" s="73"/>
      <c r="I212" s="73"/>
      <c r="J212" s="73"/>
      <c r="K212" s="73"/>
      <c r="L212" s="73"/>
      <c r="M212" s="73"/>
      <c r="N212" s="73"/>
      <c r="O212" s="73"/>
      <c r="P212" s="73"/>
      <c r="Q212" s="73"/>
      <c r="R212" s="73"/>
      <c r="S212" s="73"/>
      <c r="T212" s="73"/>
      <c r="U212" s="74"/>
    </row>
    <row r="213" spans="2:21" s="15" customFormat="1" x14ac:dyDescent="0.25">
      <c r="B213" s="72" t="s">
        <v>3172</v>
      </c>
      <c r="C213" s="73"/>
      <c r="D213" s="73"/>
      <c r="E213" s="73"/>
      <c r="F213" s="73"/>
      <c r="G213" s="73"/>
      <c r="H213" s="73"/>
      <c r="I213" s="73"/>
      <c r="J213" s="73"/>
      <c r="K213" s="73"/>
      <c r="L213" s="73"/>
      <c r="M213" s="73"/>
      <c r="N213" s="73"/>
      <c r="O213" s="73"/>
      <c r="P213" s="73"/>
      <c r="Q213" s="73"/>
      <c r="R213" s="73"/>
      <c r="S213" s="73"/>
      <c r="T213" s="73"/>
      <c r="U213" s="74"/>
    </row>
    <row r="214" spans="2:21" s="15" customFormat="1" x14ac:dyDescent="0.25">
      <c r="B214" s="72" t="s">
        <v>3285</v>
      </c>
      <c r="C214" s="73"/>
      <c r="D214" s="73"/>
      <c r="E214" s="73"/>
      <c r="F214" s="73"/>
      <c r="G214" s="73"/>
      <c r="H214" s="73"/>
      <c r="I214" s="73"/>
      <c r="J214" s="73"/>
      <c r="K214" s="73"/>
      <c r="L214" s="73"/>
      <c r="M214" s="73"/>
      <c r="N214" s="73"/>
      <c r="O214" s="73"/>
      <c r="P214" s="73"/>
      <c r="Q214" s="73"/>
      <c r="R214" s="73"/>
      <c r="S214" s="73"/>
      <c r="T214" s="73"/>
      <c r="U214" s="74"/>
    </row>
    <row r="215" spans="2:21" s="15" customFormat="1" x14ac:dyDescent="0.25">
      <c r="B215" s="72" t="s">
        <v>3286</v>
      </c>
      <c r="C215" s="73"/>
      <c r="D215" s="73"/>
      <c r="E215" s="73"/>
      <c r="F215" s="73"/>
      <c r="G215" s="73"/>
      <c r="H215" s="73"/>
      <c r="I215" s="73"/>
      <c r="J215" s="73"/>
      <c r="K215" s="73"/>
      <c r="L215" s="73"/>
      <c r="M215" s="73"/>
      <c r="N215" s="73"/>
      <c r="O215" s="73"/>
      <c r="P215" s="73"/>
      <c r="Q215" s="73"/>
      <c r="R215" s="73"/>
      <c r="S215" s="73"/>
      <c r="T215" s="73"/>
      <c r="U215" s="74"/>
    </row>
    <row r="216" spans="2:21" s="15" customFormat="1" x14ac:dyDescent="0.25">
      <c r="B216" s="72" t="s">
        <v>3287</v>
      </c>
      <c r="C216" s="73"/>
      <c r="D216" s="73"/>
      <c r="E216" s="73"/>
      <c r="F216" s="73"/>
      <c r="G216" s="73"/>
      <c r="H216" s="73"/>
      <c r="I216" s="73"/>
      <c r="J216" s="73"/>
      <c r="K216" s="73"/>
      <c r="L216" s="73"/>
      <c r="M216" s="73"/>
      <c r="N216" s="73"/>
      <c r="O216" s="73"/>
      <c r="P216" s="73"/>
      <c r="Q216" s="73"/>
      <c r="R216" s="73"/>
      <c r="S216" s="73"/>
      <c r="T216" s="73"/>
      <c r="U216" s="74"/>
    </row>
    <row r="217" spans="2:21" s="15" customFormat="1" x14ac:dyDescent="0.25">
      <c r="B217" s="72" t="s">
        <v>3176</v>
      </c>
      <c r="C217" s="73"/>
      <c r="D217" s="73"/>
      <c r="E217" s="73"/>
      <c r="F217" s="73"/>
      <c r="G217" s="73"/>
      <c r="H217" s="73"/>
      <c r="I217" s="73"/>
      <c r="J217" s="73"/>
      <c r="K217" s="73"/>
      <c r="L217" s="73"/>
      <c r="M217" s="73"/>
      <c r="N217" s="73"/>
      <c r="O217" s="73"/>
      <c r="P217" s="73"/>
      <c r="Q217" s="73"/>
      <c r="R217" s="73"/>
      <c r="S217" s="73"/>
      <c r="T217" s="73"/>
      <c r="U217" s="74"/>
    </row>
    <row r="218" spans="2:21" s="15" customFormat="1" x14ac:dyDescent="0.25">
      <c r="B218" s="72" t="s">
        <v>3288</v>
      </c>
      <c r="C218" s="73"/>
      <c r="D218" s="73"/>
      <c r="E218" s="73"/>
      <c r="F218" s="73"/>
      <c r="G218" s="73"/>
      <c r="H218" s="73"/>
      <c r="I218" s="73"/>
      <c r="J218" s="73"/>
      <c r="K218" s="73"/>
      <c r="L218" s="73"/>
      <c r="M218" s="73"/>
      <c r="N218" s="73"/>
      <c r="O218" s="73"/>
      <c r="P218" s="73"/>
      <c r="Q218" s="73"/>
      <c r="R218" s="73"/>
      <c r="S218" s="73"/>
      <c r="T218" s="73"/>
      <c r="U218" s="74"/>
    </row>
    <row r="219" spans="2:21" s="15" customFormat="1" x14ac:dyDescent="0.25">
      <c r="B219" s="72" t="s">
        <v>3289</v>
      </c>
      <c r="C219" s="73"/>
      <c r="D219" s="73"/>
      <c r="E219" s="73"/>
      <c r="F219" s="73"/>
      <c r="G219" s="73"/>
      <c r="H219" s="73"/>
      <c r="I219" s="73"/>
      <c r="J219" s="73"/>
      <c r="K219" s="73"/>
      <c r="L219" s="73"/>
      <c r="M219" s="73"/>
      <c r="N219" s="73"/>
      <c r="O219" s="73"/>
      <c r="P219" s="73"/>
      <c r="Q219" s="73"/>
      <c r="R219" s="73"/>
      <c r="S219" s="73"/>
      <c r="T219" s="73"/>
      <c r="U219" s="74"/>
    </row>
    <row r="220" spans="2:21" s="15" customFormat="1" x14ac:dyDescent="0.25">
      <c r="B220" s="72" t="s">
        <v>3294</v>
      </c>
      <c r="C220" s="73"/>
      <c r="D220" s="73"/>
      <c r="E220" s="73"/>
      <c r="F220" s="73"/>
      <c r="G220" s="73"/>
      <c r="H220" s="73"/>
      <c r="I220" s="73"/>
      <c r="J220" s="73"/>
      <c r="K220" s="73"/>
      <c r="L220" s="73"/>
      <c r="M220" s="73"/>
      <c r="N220" s="73"/>
      <c r="O220" s="73"/>
      <c r="P220" s="73"/>
      <c r="Q220" s="73"/>
      <c r="R220" s="73"/>
      <c r="S220" s="73"/>
      <c r="T220" s="73"/>
      <c r="U220" s="74"/>
    </row>
    <row r="221" spans="2:21" s="15" customFormat="1" x14ac:dyDescent="0.25">
      <c r="B221" s="72" t="s">
        <v>3293</v>
      </c>
      <c r="C221" s="73"/>
      <c r="D221" s="73"/>
      <c r="E221" s="73"/>
      <c r="F221" s="73"/>
      <c r="G221" s="73"/>
      <c r="H221" s="73"/>
      <c r="I221" s="73"/>
      <c r="J221" s="73"/>
      <c r="K221" s="73"/>
      <c r="L221" s="73"/>
      <c r="M221" s="73"/>
      <c r="N221" s="73"/>
      <c r="O221" s="73"/>
      <c r="P221" s="73"/>
      <c r="Q221" s="73"/>
      <c r="R221" s="73"/>
      <c r="S221" s="73"/>
      <c r="T221" s="73"/>
      <c r="U221" s="74"/>
    </row>
    <row r="222" spans="2:21" s="15" customFormat="1" x14ac:dyDescent="0.25">
      <c r="B222" s="72" t="s">
        <v>3181</v>
      </c>
      <c r="C222" s="73"/>
      <c r="D222" s="73"/>
      <c r="E222" s="73"/>
      <c r="F222" s="73"/>
      <c r="G222" s="73"/>
      <c r="H222" s="73"/>
      <c r="I222" s="73"/>
      <c r="J222" s="73"/>
      <c r="K222" s="73"/>
      <c r="L222" s="73"/>
      <c r="M222" s="73"/>
      <c r="N222" s="73"/>
      <c r="O222" s="73"/>
      <c r="P222" s="73"/>
      <c r="Q222" s="73"/>
      <c r="R222" s="73"/>
      <c r="S222" s="73"/>
      <c r="T222" s="73"/>
      <c r="U222" s="74"/>
    </row>
    <row r="223" spans="2:21" s="15" customFormat="1" x14ac:dyDescent="0.25">
      <c r="B223" s="72" t="s">
        <v>3085</v>
      </c>
      <c r="C223" s="73"/>
      <c r="D223" s="73"/>
      <c r="E223" s="73"/>
      <c r="F223" s="73"/>
      <c r="G223" s="73"/>
      <c r="H223" s="73"/>
      <c r="I223" s="73"/>
      <c r="J223" s="73"/>
      <c r="K223" s="73"/>
      <c r="L223" s="73"/>
      <c r="M223" s="73"/>
      <c r="N223" s="73"/>
      <c r="O223" s="73"/>
      <c r="P223" s="73"/>
      <c r="Q223" s="73"/>
      <c r="R223" s="73"/>
      <c r="S223" s="73"/>
      <c r="T223" s="73"/>
      <c r="U223" s="74"/>
    </row>
    <row r="224" spans="2:21" s="15" customFormat="1" x14ac:dyDescent="0.25">
      <c r="B224" s="72" t="s">
        <v>3295</v>
      </c>
      <c r="C224" s="73"/>
      <c r="D224" s="73"/>
      <c r="E224" s="73"/>
      <c r="F224" s="73"/>
      <c r="G224" s="73"/>
      <c r="H224" s="73"/>
      <c r="I224" s="73"/>
      <c r="J224" s="73"/>
      <c r="K224" s="73"/>
      <c r="L224" s="73"/>
      <c r="M224" s="73"/>
      <c r="N224" s="73"/>
      <c r="O224" s="73"/>
      <c r="P224" s="73"/>
      <c r="Q224" s="73"/>
      <c r="R224" s="73"/>
      <c r="S224" s="73"/>
      <c r="T224" s="73"/>
      <c r="U224" s="74"/>
    </row>
    <row r="225" spans="2:21" s="15" customFormat="1" x14ac:dyDescent="0.25">
      <c r="B225" s="72" t="s">
        <v>3203</v>
      </c>
      <c r="C225" s="73"/>
      <c r="D225" s="73"/>
      <c r="E225" s="73"/>
      <c r="F225" s="73"/>
      <c r="G225" s="73"/>
      <c r="H225" s="73"/>
      <c r="I225" s="73"/>
      <c r="J225" s="73"/>
      <c r="K225" s="73"/>
      <c r="L225" s="73"/>
      <c r="M225" s="73"/>
      <c r="N225" s="73"/>
      <c r="O225" s="73"/>
      <c r="P225" s="73"/>
      <c r="Q225" s="73"/>
      <c r="R225" s="73"/>
      <c r="S225" s="73"/>
      <c r="T225" s="73"/>
      <c r="U225" s="74"/>
    </row>
    <row r="226" spans="2:21" s="15" customFormat="1" x14ac:dyDescent="0.25">
      <c r="B226" s="72" t="s">
        <v>3296</v>
      </c>
      <c r="C226" s="73"/>
      <c r="D226" s="73"/>
      <c r="E226" s="73"/>
      <c r="F226" s="73"/>
      <c r="G226" s="73"/>
      <c r="H226" s="73"/>
      <c r="I226" s="73"/>
      <c r="J226" s="73"/>
      <c r="K226" s="73"/>
      <c r="L226" s="73"/>
      <c r="M226" s="73"/>
      <c r="N226" s="73"/>
      <c r="O226" s="73"/>
      <c r="P226" s="73"/>
      <c r="Q226" s="73"/>
      <c r="R226" s="73"/>
      <c r="S226" s="73"/>
      <c r="T226" s="73"/>
      <c r="U226" s="74"/>
    </row>
    <row r="227" spans="2:21" s="15" customFormat="1" x14ac:dyDescent="0.25">
      <c r="B227" s="72" t="s">
        <v>3282</v>
      </c>
      <c r="C227" s="73"/>
      <c r="D227" s="73"/>
      <c r="E227" s="73"/>
      <c r="F227" s="73"/>
      <c r="G227" s="73"/>
      <c r="H227" s="73"/>
      <c r="I227" s="73"/>
      <c r="J227" s="73"/>
      <c r="K227" s="73"/>
      <c r="L227" s="73"/>
      <c r="M227" s="73"/>
      <c r="N227" s="73"/>
      <c r="O227" s="73"/>
      <c r="P227" s="73"/>
      <c r="Q227" s="73"/>
      <c r="R227" s="73"/>
      <c r="S227" s="73"/>
      <c r="T227" s="73"/>
      <c r="U227" s="74"/>
    </row>
    <row r="228" spans="2:21" s="15" customFormat="1" x14ac:dyDescent="0.25">
      <c r="B228" s="72" t="s">
        <v>3297</v>
      </c>
      <c r="C228" s="73"/>
      <c r="D228" s="73"/>
      <c r="E228" s="73"/>
      <c r="F228" s="73"/>
      <c r="G228" s="73"/>
      <c r="H228" s="73"/>
      <c r="I228" s="73"/>
      <c r="J228" s="73"/>
      <c r="K228" s="73"/>
      <c r="L228" s="73"/>
      <c r="M228" s="73"/>
      <c r="N228" s="73"/>
      <c r="O228" s="73"/>
      <c r="P228" s="73"/>
      <c r="Q228" s="73"/>
      <c r="R228" s="73"/>
      <c r="S228" s="73"/>
      <c r="T228" s="73"/>
      <c r="U228" s="74"/>
    </row>
    <row r="229" spans="2:21" s="15" customFormat="1" x14ac:dyDescent="0.25">
      <c r="B229" s="72" t="s">
        <v>3171</v>
      </c>
      <c r="C229" s="73"/>
      <c r="D229" s="73"/>
      <c r="E229" s="73"/>
      <c r="F229" s="73"/>
      <c r="G229" s="73"/>
      <c r="H229" s="73"/>
      <c r="I229" s="73"/>
      <c r="J229" s="73"/>
      <c r="K229" s="73"/>
      <c r="L229" s="73"/>
      <c r="M229" s="73"/>
      <c r="N229" s="73"/>
      <c r="O229" s="73"/>
      <c r="P229" s="73"/>
      <c r="Q229" s="73"/>
      <c r="R229" s="73"/>
      <c r="S229" s="73"/>
      <c r="T229" s="73"/>
      <c r="U229" s="74"/>
    </row>
    <row r="230" spans="2:21" s="15" customFormat="1" x14ac:dyDescent="0.25">
      <c r="B230" s="72" t="s">
        <v>3172</v>
      </c>
      <c r="C230" s="73"/>
      <c r="D230" s="73"/>
      <c r="E230" s="73"/>
      <c r="F230" s="73"/>
      <c r="G230" s="73"/>
      <c r="H230" s="73"/>
      <c r="I230" s="73"/>
      <c r="J230" s="73"/>
      <c r="K230" s="73"/>
      <c r="L230" s="73"/>
      <c r="M230" s="73"/>
      <c r="N230" s="73"/>
      <c r="O230" s="73"/>
      <c r="P230" s="73"/>
      <c r="Q230" s="73"/>
      <c r="R230" s="73"/>
      <c r="S230" s="73"/>
      <c r="T230" s="73"/>
      <c r="U230" s="74"/>
    </row>
    <row r="231" spans="2:21" s="15" customFormat="1" x14ac:dyDescent="0.25">
      <c r="B231" s="72" t="s">
        <v>3173</v>
      </c>
      <c r="C231" s="73"/>
      <c r="D231" s="73"/>
      <c r="E231" s="73"/>
      <c r="F231" s="73"/>
      <c r="G231" s="73"/>
      <c r="H231" s="73"/>
      <c r="I231" s="73"/>
      <c r="J231" s="73"/>
      <c r="K231" s="73"/>
      <c r="L231" s="73"/>
      <c r="M231" s="73"/>
      <c r="N231" s="73"/>
      <c r="O231" s="73"/>
      <c r="P231" s="73"/>
      <c r="Q231" s="73"/>
      <c r="R231" s="73"/>
      <c r="S231" s="73"/>
      <c r="T231" s="73"/>
      <c r="U231" s="74"/>
    </row>
    <row r="232" spans="2:21" s="15" customFormat="1" x14ac:dyDescent="0.25">
      <c r="B232" s="72" t="s">
        <v>3174</v>
      </c>
      <c r="C232" s="73"/>
      <c r="D232" s="73"/>
      <c r="E232" s="73"/>
      <c r="F232" s="73"/>
      <c r="G232" s="73"/>
      <c r="H232" s="73"/>
      <c r="I232" s="73"/>
      <c r="J232" s="73"/>
      <c r="K232" s="73"/>
      <c r="L232" s="73"/>
      <c r="M232" s="73"/>
      <c r="N232" s="73"/>
      <c r="O232" s="73"/>
      <c r="P232" s="73"/>
      <c r="Q232" s="73"/>
      <c r="R232" s="73"/>
      <c r="S232" s="73"/>
      <c r="T232" s="73"/>
      <c r="U232" s="74"/>
    </row>
    <row r="233" spans="2:21" s="15" customFormat="1" x14ac:dyDescent="0.25">
      <c r="B233" s="72" t="s">
        <v>3298</v>
      </c>
      <c r="C233" s="73"/>
      <c r="D233" s="73"/>
      <c r="E233" s="73"/>
      <c r="F233" s="73"/>
      <c r="G233" s="73"/>
      <c r="H233" s="73"/>
      <c r="I233" s="73"/>
      <c r="J233" s="73"/>
      <c r="K233" s="73"/>
      <c r="L233" s="73"/>
      <c r="M233" s="73"/>
      <c r="N233" s="73"/>
      <c r="O233" s="73"/>
      <c r="P233" s="73"/>
      <c r="Q233" s="73"/>
      <c r="R233" s="73"/>
      <c r="S233" s="73"/>
      <c r="T233" s="73"/>
      <c r="U233" s="74"/>
    </row>
    <row r="234" spans="2:21" s="15" customFormat="1" x14ac:dyDescent="0.25">
      <c r="B234" s="72" t="s">
        <v>3299</v>
      </c>
      <c r="C234" s="73"/>
      <c r="D234" s="73"/>
      <c r="E234" s="73"/>
      <c r="F234" s="73"/>
      <c r="G234" s="73"/>
      <c r="H234" s="73"/>
      <c r="I234" s="73"/>
      <c r="J234" s="73"/>
      <c r="K234" s="73"/>
      <c r="L234" s="73"/>
      <c r="M234" s="73"/>
      <c r="N234" s="73"/>
      <c r="O234" s="73"/>
      <c r="P234" s="73"/>
      <c r="Q234" s="73"/>
      <c r="R234" s="73"/>
      <c r="S234" s="73"/>
      <c r="T234" s="73"/>
      <c r="U234" s="74"/>
    </row>
    <row r="235" spans="2:21" s="15" customFormat="1" x14ac:dyDescent="0.25">
      <c r="B235" s="72" t="s">
        <v>3300</v>
      </c>
      <c r="C235" s="73"/>
      <c r="D235" s="73"/>
      <c r="E235" s="73"/>
      <c r="F235" s="73"/>
      <c r="G235" s="73"/>
      <c r="H235" s="73"/>
      <c r="I235" s="73"/>
      <c r="J235" s="73"/>
      <c r="K235" s="73"/>
      <c r="L235" s="73"/>
      <c r="M235" s="73"/>
      <c r="N235" s="73"/>
      <c r="O235" s="73"/>
      <c r="P235" s="73"/>
      <c r="Q235" s="73"/>
      <c r="R235" s="73"/>
      <c r="S235" s="73"/>
      <c r="T235" s="73"/>
      <c r="U235" s="74"/>
    </row>
    <row r="236" spans="2:21" s="15" customFormat="1" x14ac:dyDescent="0.25">
      <c r="B236" s="72" t="s">
        <v>3289</v>
      </c>
      <c r="C236" s="73"/>
      <c r="D236" s="73"/>
      <c r="E236" s="73"/>
      <c r="F236" s="73"/>
      <c r="G236" s="73"/>
      <c r="H236" s="73"/>
      <c r="I236" s="73"/>
      <c r="J236" s="73"/>
      <c r="K236" s="73"/>
      <c r="L236" s="73"/>
      <c r="M236" s="73"/>
      <c r="N236" s="73"/>
      <c r="O236" s="73"/>
      <c r="P236" s="73"/>
      <c r="Q236" s="73"/>
      <c r="R236" s="73"/>
      <c r="S236" s="73"/>
      <c r="T236" s="73"/>
      <c r="U236" s="74"/>
    </row>
    <row r="237" spans="2:21" s="15" customFormat="1" x14ac:dyDescent="0.25">
      <c r="B237" s="72" t="s">
        <v>3290</v>
      </c>
      <c r="C237" s="73"/>
      <c r="D237" s="73"/>
      <c r="E237" s="73"/>
      <c r="F237" s="73"/>
      <c r="G237" s="73"/>
      <c r="H237" s="73"/>
      <c r="I237" s="73"/>
      <c r="J237" s="73"/>
      <c r="K237" s="73"/>
      <c r="L237" s="73"/>
      <c r="M237" s="73"/>
      <c r="N237" s="73"/>
      <c r="O237" s="73"/>
      <c r="P237" s="73"/>
      <c r="Q237" s="73"/>
      <c r="R237" s="73"/>
      <c r="S237" s="73"/>
      <c r="T237" s="73"/>
      <c r="U237" s="74"/>
    </row>
    <row r="238" spans="2:21" s="15" customFormat="1" x14ac:dyDescent="0.25">
      <c r="B238" s="72" t="s">
        <v>3180</v>
      </c>
      <c r="C238" s="73"/>
      <c r="D238" s="73"/>
      <c r="E238" s="73"/>
      <c r="F238" s="73"/>
      <c r="G238" s="73"/>
      <c r="H238" s="73"/>
      <c r="I238" s="73"/>
      <c r="J238" s="73"/>
      <c r="K238" s="73"/>
      <c r="L238" s="73"/>
      <c r="M238" s="73"/>
      <c r="N238" s="73"/>
      <c r="O238" s="73"/>
      <c r="P238" s="73"/>
      <c r="Q238" s="73"/>
      <c r="R238" s="73"/>
      <c r="S238" s="73"/>
      <c r="T238" s="73"/>
      <c r="U238" s="74"/>
    </row>
    <row r="239" spans="2:21" s="15" customFormat="1" x14ac:dyDescent="0.25">
      <c r="B239" s="72" t="s">
        <v>3181</v>
      </c>
      <c r="C239" s="73"/>
      <c r="D239" s="73"/>
      <c r="E239" s="73"/>
      <c r="F239" s="73"/>
      <c r="G239" s="73"/>
      <c r="H239" s="73"/>
      <c r="I239" s="73"/>
      <c r="J239" s="73"/>
      <c r="K239" s="73"/>
      <c r="L239" s="73"/>
      <c r="M239" s="73"/>
      <c r="N239" s="73"/>
      <c r="O239" s="73"/>
      <c r="P239" s="73"/>
      <c r="Q239" s="73"/>
      <c r="R239" s="73"/>
      <c r="S239" s="73"/>
      <c r="T239" s="73"/>
      <c r="U239" s="74"/>
    </row>
    <row r="240" spans="2:21" s="15" customFormat="1" x14ac:dyDescent="0.25">
      <c r="B240" s="72" t="s">
        <v>3085</v>
      </c>
      <c r="C240" s="73"/>
      <c r="D240" s="73"/>
      <c r="E240" s="73"/>
      <c r="F240" s="73"/>
      <c r="G240" s="73"/>
      <c r="H240" s="73"/>
      <c r="I240" s="73"/>
      <c r="J240" s="73"/>
      <c r="K240" s="73"/>
      <c r="L240" s="73"/>
      <c r="M240" s="73"/>
      <c r="N240" s="73"/>
      <c r="O240" s="73"/>
      <c r="P240" s="73"/>
      <c r="Q240" s="73"/>
      <c r="R240" s="73"/>
      <c r="S240" s="73"/>
      <c r="T240" s="73"/>
      <c r="U240" s="74"/>
    </row>
    <row r="241" spans="2:21" s="15" customFormat="1" x14ac:dyDescent="0.25">
      <c r="B241" s="72" t="s">
        <v>3295</v>
      </c>
      <c r="C241" s="73"/>
      <c r="D241" s="73"/>
      <c r="E241" s="73"/>
      <c r="F241" s="73"/>
      <c r="G241" s="73"/>
      <c r="H241" s="73"/>
      <c r="I241" s="73"/>
      <c r="J241" s="73"/>
      <c r="K241" s="73"/>
      <c r="L241" s="73"/>
      <c r="M241" s="73"/>
      <c r="N241" s="73"/>
      <c r="O241" s="73"/>
      <c r="P241" s="73"/>
      <c r="Q241" s="73"/>
      <c r="R241" s="73"/>
      <c r="S241" s="73"/>
      <c r="T241" s="73"/>
      <c r="U241" s="74"/>
    </row>
    <row r="242" spans="2:21" s="15" customFormat="1" x14ac:dyDescent="0.25">
      <c r="B242" s="72" t="s">
        <v>3167</v>
      </c>
      <c r="C242" s="73"/>
      <c r="D242" s="73"/>
      <c r="E242" s="73"/>
      <c r="F242" s="73"/>
      <c r="G242" s="73"/>
      <c r="H242" s="73"/>
      <c r="I242" s="73"/>
      <c r="J242" s="73"/>
      <c r="K242" s="73"/>
      <c r="L242" s="73"/>
      <c r="M242" s="73"/>
      <c r="N242" s="73"/>
      <c r="O242" s="73"/>
      <c r="P242" s="73"/>
      <c r="Q242" s="73"/>
      <c r="R242" s="73"/>
      <c r="S242" s="73"/>
      <c r="T242" s="73"/>
      <c r="U242" s="74"/>
    </row>
    <row r="243" spans="2:21" s="15" customFormat="1" x14ac:dyDescent="0.25">
      <c r="B243" s="72" t="s">
        <v>3296</v>
      </c>
      <c r="C243" s="73"/>
      <c r="D243" s="73"/>
      <c r="E243" s="73"/>
      <c r="F243" s="73"/>
      <c r="G243" s="73"/>
      <c r="H243" s="73"/>
      <c r="I243" s="73"/>
      <c r="J243" s="73"/>
      <c r="K243" s="73"/>
      <c r="L243" s="73"/>
      <c r="M243" s="73"/>
      <c r="N243" s="73"/>
      <c r="O243" s="73"/>
      <c r="P243" s="73"/>
      <c r="Q243" s="73"/>
      <c r="R243" s="73"/>
      <c r="S243" s="73"/>
      <c r="T243" s="73"/>
      <c r="U243" s="74"/>
    </row>
    <row r="244" spans="2:21" s="15" customFormat="1" x14ac:dyDescent="0.25">
      <c r="B244" s="72" t="s">
        <v>3282</v>
      </c>
      <c r="C244" s="73"/>
      <c r="D244" s="73"/>
      <c r="E244" s="73"/>
      <c r="F244" s="73"/>
      <c r="G244" s="73"/>
      <c r="H244" s="73"/>
      <c r="I244" s="73"/>
      <c r="J244" s="73"/>
      <c r="K244" s="73"/>
      <c r="L244" s="73"/>
      <c r="M244" s="73"/>
      <c r="N244" s="73"/>
      <c r="O244" s="73"/>
      <c r="P244" s="73"/>
      <c r="Q244" s="73"/>
      <c r="R244" s="73"/>
      <c r="S244" s="73"/>
      <c r="T244" s="73"/>
      <c r="U244" s="74"/>
    </row>
    <row r="245" spans="2:21" s="15" customFormat="1" x14ac:dyDescent="0.25">
      <c r="B245" s="72" t="s">
        <v>3297</v>
      </c>
      <c r="C245" s="73"/>
      <c r="D245" s="73"/>
      <c r="E245" s="73"/>
      <c r="F245" s="73"/>
      <c r="G245" s="73"/>
      <c r="H245" s="73"/>
      <c r="I245" s="73"/>
      <c r="J245" s="73"/>
      <c r="K245" s="73"/>
      <c r="L245" s="73"/>
      <c r="M245" s="73"/>
      <c r="N245" s="73"/>
      <c r="O245" s="73"/>
      <c r="P245" s="73"/>
      <c r="Q245" s="73"/>
      <c r="R245" s="73"/>
      <c r="S245" s="73"/>
      <c r="T245" s="73"/>
      <c r="U245" s="74"/>
    </row>
    <row r="246" spans="2:21" s="15" customFormat="1" x14ac:dyDescent="0.25">
      <c r="B246" s="72" t="s">
        <v>3171</v>
      </c>
      <c r="C246" s="73"/>
      <c r="D246" s="73"/>
      <c r="E246" s="73"/>
      <c r="F246" s="73"/>
      <c r="G246" s="73"/>
      <c r="H246" s="73"/>
      <c r="I246" s="73"/>
      <c r="J246" s="73"/>
      <c r="K246" s="73"/>
      <c r="L246" s="73"/>
      <c r="M246" s="73"/>
      <c r="N246" s="73"/>
      <c r="O246" s="73"/>
      <c r="P246" s="73"/>
      <c r="Q246" s="73"/>
      <c r="R246" s="73"/>
      <c r="S246" s="73"/>
      <c r="T246" s="73"/>
      <c r="U246" s="74"/>
    </row>
    <row r="247" spans="2:21" s="15" customFormat="1" x14ac:dyDescent="0.25">
      <c r="B247" s="72" t="s">
        <v>3172</v>
      </c>
      <c r="C247" s="73"/>
      <c r="D247" s="73"/>
      <c r="E247" s="73"/>
      <c r="F247" s="73"/>
      <c r="G247" s="73"/>
      <c r="H247" s="73"/>
      <c r="I247" s="73"/>
      <c r="J247" s="73"/>
      <c r="K247" s="73"/>
      <c r="L247" s="73"/>
      <c r="M247" s="73"/>
      <c r="N247" s="73"/>
      <c r="O247" s="73"/>
      <c r="P247" s="73"/>
      <c r="Q247" s="73"/>
      <c r="R247" s="73"/>
      <c r="S247" s="73"/>
      <c r="T247" s="73"/>
      <c r="U247" s="74"/>
    </row>
    <row r="248" spans="2:21" s="15" customFormat="1" x14ac:dyDescent="0.25">
      <c r="B248" s="72" t="s">
        <v>3173</v>
      </c>
      <c r="C248" s="73"/>
      <c r="D248" s="73"/>
      <c r="E248" s="73"/>
      <c r="F248" s="73"/>
      <c r="G248" s="73"/>
      <c r="H248" s="73"/>
      <c r="I248" s="73"/>
      <c r="J248" s="73"/>
      <c r="K248" s="73"/>
      <c r="L248" s="73"/>
      <c r="M248" s="73"/>
      <c r="N248" s="73"/>
      <c r="O248" s="73"/>
      <c r="P248" s="73"/>
      <c r="Q248" s="73"/>
      <c r="R248" s="73"/>
      <c r="S248" s="73"/>
      <c r="T248" s="73"/>
      <c r="U248" s="74"/>
    </row>
    <row r="249" spans="2:21" s="15" customFormat="1" x14ac:dyDescent="0.25">
      <c r="B249" s="72" t="s">
        <v>3174</v>
      </c>
      <c r="C249" s="73"/>
      <c r="D249" s="73"/>
      <c r="E249" s="73"/>
      <c r="F249" s="73"/>
      <c r="G249" s="73"/>
      <c r="H249" s="73"/>
      <c r="I249" s="73"/>
      <c r="J249" s="73"/>
      <c r="K249" s="73"/>
      <c r="L249" s="73"/>
      <c r="M249" s="73"/>
      <c r="N249" s="73"/>
      <c r="O249" s="73"/>
      <c r="P249" s="73"/>
      <c r="Q249" s="73"/>
      <c r="R249" s="73"/>
      <c r="S249" s="73"/>
      <c r="T249" s="73"/>
      <c r="U249" s="74"/>
    </row>
    <row r="250" spans="2:21" s="15" customFormat="1" x14ac:dyDescent="0.25">
      <c r="B250" s="72" t="s">
        <v>3298</v>
      </c>
      <c r="C250" s="73"/>
      <c r="D250" s="73"/>
      <c r="E250" s="73"/>
      <c r="F250" s="73"/>
      <c r="G250" s="73"/>
      <c r="H250" s="73"/>
      <c r="I250" s="73"/>
      <c r="J250" s="73"/>
      <c r="K250" s="73"/>
      <c r="L250" s="73"/>
      <c r="M250" s="73"/>
      <c r="N250" s="73"/>
      <c r="O250" s="73"/>
      <c r="P250" s="73"/>
      <c r="Q250" s="73"/>
      <c r="R250" s="73"/>
      <c r="S250" s="73"/>
      <c r="T250" s="73"/>
      <c r="U250" s="74"/>
    </row>
    <row r="251" spans="2:21" s="15" customFormat="1" x14ac:dyDescent="0.25">
      <c r="B251" s="72" t="s">
        <v>3301</v>
      </c>
      <c r="C251" s="73"/>
      <c r="D251" s="73"/>
      <c r="E251" s="73"/>
      <c r="F251" s="73"/>
      <c r="G251" s="73"/>
      <c r="H251" s="73"/>
      <c r="I251" s="73"/>
      <c r="J251" s="73"/>
      <c r="K251" s="73"/>
      <c r="L251" s="73"/>
      <c r="M251" s="73"/>
      <c r="N251" s="73"/>
      <c r="O251" s="73"/>
      <c r="P251" s="73"/>
      <c r="Q251" s="73"/>
      <c r="R251" s="73"/>
      <c r="S251" s="73"/>
      <c r="T251" s="73"/>
      <c r="U251" s="74"/>
    </row>
    <row r="252" spans="2:21" s="15" customFormat="1" x14ac:dyDescent="0.25">
      <c r="B252" s="72" t="s">
        <v>3300</v>
      </c>
      <c r="C252" s="73"/>
      <c r="D252" s="73"/>
      <c r="E252" s="73"/>
      <c r="F252" s="73"/>
      <c r="G252" s="73"/>
      <c r="H252" s="73"/>
      <c r="I252" s="73"/>
      <c r="J252" s="73"/>
      <c r="K252" s="73"/>
      <c r="L252" s="73"/>
      <c r="M252" s="73"/>
      <c r="N252" s="73"/>
      <c r="O252" s="73"/>
      <c r="P252" s="73"/>
      <c r="Q252" s="73"/>
      <c r="R252" s="73"/>
      <c r="S252" s="73"/>
      <c r="T252" s="73"/>
      <c r="U252" s="74"/>
    </row>
    <row r="253" spans="2:21" s="15" customFormat="1" x14ac:dyDescent="0.25">
      <c r="B253" s="72" t="s">
        <v>3289</v>
      </c>
      <c r="C253" s="73"/>
      <c r="D253" s="73"/>
      <c r="E253" s="73"/>
      <c r="F253" s="73"/>
      <c r="G253" s="73"/>
      <c r="H253" s="73"/>
      <c r="I253" s="73"/>
      <c r="J253" s="73"/>
      <c r="K253" s="73"/>
      <c r="L253" s="73"/>
      <c r="M253" s="73"/>
      <c r="N253" s="73"/>
      <c r="O253" s="73"/>
      <c r="P253" s="73"/>
      <c r="Q253" s="73"/>
      <c r="R253" s="73"/>
      <c r="S253" s="73"/>
      <c r="T253" s="73"/>
      <c r="U253" s="74"/>
    </row>
    <row r="254" spans="2:21" s="15" customFormat="1" x14ac:dyDescent="0.25">
      <c r="B254" s="72" t="s">
        <v>3294</v>
      </c>
      <c r="C254" s="73"/>
      <c r="D254" s="73"/>
      <c r="E254" s="73"/>
      <c r="F254" s="73"/>
      <c r="G254" s="73"/>
      <c r="H254" s="73"/>
      <c r="I254" s="73"/>
      <c r="J254" s="73"/>
      <c r="K254" s="73"/>
      <c r="L254" s="73"/>
      <c r="M254" s="73"/>
      <c r="N254" s="73"/>
      <c r="O254" s="73"/>
      <c r="P254" s="73"/>
      <c r="Q254" s="73"/>
      <c r="R254" s="73"/>
      <c r="S254" s="73"/>
      <c r="T254" s="73"/>
      <c r="U254" s="74"/>
    </row>
    <row r="255" spans="2:21" s="15" customFormat="1" x14ac:dyDescent="0.25">
      <c r="B255" s="72" t="s">
        <v>3180</v>
      </c>
      <c r="C255" s="73"/>
      <c r="D255" s="73"/>
      <c r="E255" s="73"/>
      <c r="F255" s="73"/>
      <c r="G255" s="73"/>
      <c r="H255" s="73"/>
      <c r="I255" s="73"/>
      <c r="J255" s="73"/>
      <c r="K255" s="73"/>
      <c r="L255" s="73"/>
      <c r="M255" s="73"/>
      <c r="N255" s="73"/>
      <c r="O255" s="73"/>
      <c r="P255" s="73"/>
      <c r="Q255" s="73"/>
      <c r="R255" s="73"/>
      <c r="S255" s="73"/>
      <c r="T255" s="73"/>
      <c r="U255" s="74"/>
    </row>
    <row r="256" spans="2:21" s="15" customFormat="1" x14ac:dyDescent="0.25">
      <c r="B256" s="72" t="s">
        <v>3083</v>
      </c>
      <c r="C256" s="73"/>
      <c r="D256" s="73"/>
      <c r="E256" s="73"/>
      <c r="F256" s="73"/>
      <c r="G256" s="73"/>
      <c r="H256" s="73"/>
      <c r="I256" s="73"/>
      <c r="J256" s="73"/>
      <c r="K256" s="73"/>
      <c r="L256" s="73"/>
      <c r="M256" s="73"/>
      <c r="N256" s="73"/>
      <c r="O256" s="73"/>
      <c r="P256" s="73"/>
      <c r="Q256" s="73"/>
      <c r="R256" s="73"/>
      <c r="S256" s="73"/>
      <c r="T256" s="73"/>
      <c r="U256" s="74"/>
    </row>
    <row r="257" spans="2:21" s="15" customFormat="1" x14ac:dyDescent="0.25">
      <c r="B257" s="72" t="s">
        <v>3093</v>
      </c>
      <c r="C257" s="73"/>
      <c r="D257" s="73"/>
      <c r="E257" s="73"/>
      <c r="F257" s="73"/>
      <c r="G257" s="73"/>
      <c r="H257" s="73"/>
      <c r="I257" s="73"/>
      <c r="J257" s="73"/>
      <c r="K257" s="73"/>
      <c r="L257" s="73"/>
      <c r="M257" s="73"/>
      <c r="N257" s="73"/>
      <c r="O257" s="73"/>
      <c r="P257" s="73"/>
      <c r="Q257" s="73"/>
      <c r="R257" s="73"/>
      <c r="S257" s="73"/>
      <c r="T257" s="73"/>
      <c r="U257" s="74"/>
    </row>
    <row r="258" spans="2:21" s="15" customFormat="1" x14ac:dyDescent="0.25">
      <c r="B258" s="72" t="s">
        <v>3195</v>
      </c>
      <c r="C258" s="73"/>
      <c r="D258" s="73"/>
      <c r="E258" s="73"/>
      <c r="F258" s="73"/>
      <c r="G258" s="73"/>
      <c r="H258" s="73"/>
      <c r="I258" s="73"/>
      <c r="J258" s="73"/>
      <c r="K258" s="73"/>
      <c r="L258" s="73"/>
      <c r="M258" s="73"/>
      <c r="N258" s="73"/>
      <c r="O258" s="73"/>
      <c r="P258" s="73"/>
      <c r="Q258" s="73"/>
      <c r="R258" s="73"/>
      <c r="S258" s="73"/>
      <c r="T258" s="73"/>
      <c r="U258" s="74"/>
    </row>
    <row r="259" spans="2:21" s="15" customFormat="1" x14ac:dyDescent="0.25">
      <c r="B259" s="72" t="s">
        <v>3085</v>
      </c>
      <c r="C259" s="73"/>
      <c r="D259" s="73"/>
      <c r="E259" s="73"/>
      <c r="F259" s="73"/>
      <c r="G259" s="73"/>
      <c r="H259" s="73"/>
      <c r="I259" s="73"/>
      <c r="J259" s="73"/>
      <c r="K259" s="73"/>
      <c r="L259" s="73"/>
      <c r="M259" s="73"/>
      <c r="N259" s="73"/>
      <c r="O259" s="73"/>
      <c r="P259" s="73"/>
      <c r="Q259" s="73"/>
      <c r="R259" s="73"/>
      <c r="S259" s="73"/>
      <c r="T259" s="73"/>
      <c r="U259" s="74"/>
    </row>
    <row r="260" spans="2:21" s="15" customFormat="1" x14ac:dyDescent="0.25">
      <c r="B260" s="72" t="s">
        <v>3302</v>
      </c>
      <c r="C260" s="73"/>
      <c r="D260" s="73"/>
      <c r="E260" s="73"/>
      <c r="F260" s="73"/>
      <c r="G260" s="73"/>
      <c r="H260" s="73"/>
      <c r="I260" s="73"/>
      <c r="J260" s="73"/>
      <c r="K260" s="73"/>
      <c r="L260" s="73"/>
      <c r="M260" s="73"/>
      <c r="N260" s="73"/>
      <c r="O260" s="73"/>
      <c r="P260" s="73"/>
      <c r="Q260" s="73"/>
      <c r="R260" s="73"/>
      <c r="S260" s="73"/>
      <c r="T260" s="73"/>
      <c r="U260" s="74"/>
    </row>
    <row r="261" spans="2:21" s="15" customFormat="1" x14ac:dyDescent="0.25">
      <c r="B261" s="72" t="s">
        <v>3303</v>
      </c>
      <c r="C261" s="73"/>
      <c r="D261" s="73"/>
      <c r="E261" s="73"/>
      <c r="F261" s="73"/>
      <c r="G261" s="73"/>
      <c r="H261" s="73"/>
      <c r="I261" s="73"/>
      <c r="J261" s="73"/>
      <c r="K261" s="73"/>
      <c r="L261" s="73"/>
      <c r="M261" s="73"/>
      <c r="N261" s="73"/>
      <c r="O261" s="73"/>
      <c r="P261" s="73"/>
      <c r="Q261" s="73"/>
      <c r="R261" s="73"/>
      <c r="S261" s="73"/>
      <c r="T261" s="73"/>
      <c r="U261" s="74"/>
    </row>
    <row r="262" spans="2:21" s="15" customFormat="1" x14ac:dyDescent="0.25">
      <c r="B262" s="72" t="s">
        <v>3181</v>
      </c>
      <c r="C262" s="73"/>
      <c r="D262" s="73"/>
      <c r="E262" s="73"/>
      <c r="F262" s="73"/>
      <c r="G262" s="73"/>
      <c r="H262" s="73"/>
      <c r="I262" s="73"/>
      <c r="J262" s="73"/>
      <c r="K262" s="73"/>
      <c r="L262" s="73"/>
      <c r="M262" s="73"/>
      <c r="N262" s="73"/>
      <c r="O262" s="73"/>
      <c r="P262" s="73"/>
      <c r="Q262" s="73"/>
      <c r="R262" s="73"/>
      <c r="S262" s="73"/>
      <c r="T262" s="73"/>
      <c r="U262" s="74"/>
    </row>
    <row r="263" spans="2:21" s="15" customFormat="1" x14ac:dyDescent="0.25">
      <c r="B263" s="72" t="s">
        <v>3085</v>
      </c>
      <c r="C263" s="73"/>
      <c r="D263" s="73"/>
      <c r="E263" s="73"/>
      <c r="F263" s="73"/>
      <c r="G263" s="73"/>
      <c r="H263" s="73"/>
      <c r="I263" s="73"/>
      <c r="J263" s="73"/>
      <c r="K263" s="73"/>
      <c r="L263" s="73"/>
      <c r="M263" s="73"/>
      <c r="N263" s="73"/>
      <c r="O263" s="73"/>
      <c r="P263" s="73"/>
      <c r="Q263" s="73"/>
      <c r="R263" s="73"/>
      <c r="S263" s="73"/>
      <c r="T263" s="73"/>
      <c r="U263" s="74"/>
    </row>
    <row r="264" spans="2:21" s="15" customFormat="1" x14ac:dyDescent="0.25">
      <c r="B264" s="72" t="s">
        <v>3304</v>
      </c>
      <c r="C264" s="73"/>
      <c r="D264" s="73"/>
      <c r="E264" s="73"/>
      <c r="F264" s="73"/>
      <c r="G264" s="73"/>
      <c r="H264" s="73"/>
      <c r="I264" s="73"/>
      <c r="J264" s="73"/>
      <c r="K264" s="73"/>
      <c r="L264" s="73"/>
      <c r="M264" s="73"/>
      <c r="N264" s="73"/>
      <c r="O264" s="73"/>
      <c r="P264" s="73"/>
      <c r="Q264" s="73"/>
      <c r="R264" s="73"/>
      <c r="S264" s="73"/>
      <c r="T264" s="73"/>
      <c r="U264" s="74"/>
    </row>
    <row r="265" spans="2:21" s="15" customFormat="1" x14ac:dyDescent="0.25">
      <c r="B265" s="72" t="s">
        <v>3305</v>
      </c>
      <c r="C265" s="73"/>
      <c r="D265" s="73"/>
      <c r="E265" s="73"/>
      <c r="F265" s="73"/>
      <c r="G265" s="73"/>
      <c r="H265" s="73"/>
      <c r="I265" s="73"/>
      <c r="J265" s="73"/>
      <c r="K265" s="73"/>
      <c r="L265" s="73"/>
      <c r="M265" s="73"/>
      <c r="N265" s="73"/>
      <c r="O265" s="73"/>
      <c r="P265" s="73"/>
      <c r="Q265" s="73"/>
      <c r="R265" s="73"/>
      <c r="S265" s="73"/>
      <c r="T265" s="73"/>
      <c r="U265" s="74"/>
    </row>
    <row r="266" spans="2:21" s="15" customFormat="1" x14ac:dyDescent="0.25">
      <c r="B266" s="72" t="s">
        <v>3306</v>
      </c>
      <c r="C266" s="73"/>
      <c r="D266" s="73"/>
      <c r="E266" s="73"/>
      <c r="F266" s="73"/>
      <c r="G266" s="73"/>
      <c r="H266" s="73"/>
      <c r="I266" s="73"/>
      <c r="J266" s="73"/>
      <c r="K266" s="73"/>
      <c r="L266" s="73"/>
      <c r="M266" s="73"/>
      <c r="N266" s="73"/>
      <c r="O266" s="73"/>
      <c r="P266" s="73"/>
      <c r="Q266" s="73"/>
      <c r="R266" s="73"/>
      <c r="S266" s="73"/>
      <c r="T266" s="73"/>
      <c r="U266" s="74"/>
    </row>
    <row r="267" spans="2:21" s="15" customFormat="1" x14ac:dyDescent="0.25">
      <c r="B267" s="72" t="s">
        <v>3307</v>
      </c>
      <c r="C267" s="73"/>
      <c r="D267" s="73"/>
      <c r="E267" s="73"/>
      <c r="F267" s="73"/>
      <c r="G267" s="73"/>
      <c r="H267" s="73"/>
      <c r="I267" s="73"/>
      <c r="J267" s="73"/>
      <c r="K267" s="73"/>
      <c r="L267" s="73"/>
      <c r="M267" s="73"/>
      <c r="N267" s="73"/>
      <c r="O267" s="73"/>
      <c r="P267" s="73"/>
      <c r="Q267" s="73"/>
      <c r="R267" s="73"/>
      <c r="S267" s="73"/>
      <c r="T267" s="73"/>
      <c r="U267" s="74"/>
    </row>
    <row r="268" spans="2:21" s="15" customFormat="1" x14ac:dyDescent="0.25">
      <c r="B268" s="72" t="s">
        <v>3181</v>
      </c>
      <c r="C268" s="73"/>
      <c r="D268" s="73"/>
      <c r="E268" s="73"/>
      <c r="F268" s="73"/>
      <c r="G268" s="73"/>
      <c r="H268" s="73"/>
      <c r="I268" s="73"/>
      <c r="J268" s="73"/>
      <c r="K268" s="73"/>
      <c r="L268" s="73"/>
      <c r="M268" s="73"/>
      <c r="N268" s="73"/>
      <c r="O268" s="73"/>
      <c r="P268" s="73"/>
      <c r="Q268" s="73"/>
      <c r="R268" s="73"/>
      <c r="S268" s="73"/>
      <c r="T268" s="73"/>
      <c r="U268" s="74"/>
    </row>
    <row r="269" spans="2:21" s="15" customFormat="1" x14ac:dyDescent="0.25">
      <c r="B269" s="72" t="s">
        <v>3085</v>
      </c>
      <c r="C269" s="73"/>
      <c r="D269" s="73"/>
      <c r="E269" s="73"/>
      <c r="F269" s="73"/>
      <c r="G269" s="73"/>
      <c r="H269" s="73"/>
      <c r="I269" s="73"/>
      <c r="J269" s="73"/>
      <c r="K269" s="73"/>
      <c r="L269" s="73"/>
      <c r="M269" s="73"/>
      <c r="N269" s="73"/>
      <c r="O269" s="73"/>
      <c r="P269" s="73"/>
      <c r="Q269" s="73"/>
      <c r="R269" s="73"/>
      <c r="S269" s="73"/>
      <c r="T269" s="73"/>
      <c r="U269" s="74"/>
    </row>
    <row r="270" spans="2:21" s="15" customFormat="1" x14ac:dyDescent="0.25">
      <c r="B270" s="72" t="s">
        <v>3308</v>
      </c>
      <c r="C270" s="73"/>
      <c r="D270" s="73"/>
      <c r="E270" s="73"/>
      <c r="F270" s="73"/>
      <c r="G270" s="73"/>
      <c r="H270" s="73"/>
      <c r="I270" s="73"/>
      <c r="J270" s="73"/>
      <c r="K270" s="73"/>
      <c r="L270" s="73"/>
      <c r="M270" s="73"/>
      <c r="N270" s="73"/>
      <c r="O270" s="73"/>
      <c r="P270" s="73"/>
      <c r="Q270" s="73"/>
      <c r="R270" s="73"/>
      <c r="S270" s="73"/>
      <c r="T270" s="73"/>
      <c r="U270" s="74"/>
    </row>
    <row r="271" spans="2:21" s="15" customFormat="1" x14ac:dyDescent="0.25">
      <c r="B271" s="72" t="s">
        <v>3309</v>
      </c>
      <c r="C271" s="73"/>
      <c r="D271" s="73"/>
      <c r="E271" s="73"/>
      <c r="F271" s="73"/>
      <c r="G271" s="73"/>
      <c r="H271" s="73"/>
      <c r="I271" s="73"/>
      <c r="J271" s="73"/>
      <c r="K271" s="73"/>
      <c r="L271" s="73"/>
      <c r="M271" s="73"/>
      <c r="N271" s="73"/>
      <c r="O271" s="73"/>
      <c r="P271" s="73"/>
      <c r="Q271" s="73"/>
      <c r="R271" s="73"/>
      <c r="S271" s="73"/>
      <c r="T271" s="73"/>
      <c r="U271" s="74"/>
    </row>
    <row r="272" spans="2:21" s="15" customFormat="1" x14ac:dyDescent="0.25">
      <c r="B272" s="72" t="s">
        <v>3181</v>
      </c>
      <c r="C272" s="73"/>
      <c r="D272" s="73"/>
      <c r="E272" s="73"/>
      <c r="F272" s="73"/>
      <c r="G272" s="73"/>
      <c r="H272" s="73"/>
      <c r="I272" s="73"/>
      <c r="J272" s="73"/>
      <c r="K272" s="73"/>
      <c r="L272" s="73"/>
      <c r="M272" s="73"/>
      <c r="N272" s="73"/>
      <c r="O272" s="73"/>
      <c r="P272" s="73"/>
      <c r="Q272" s="73"/>
      <c r="R272" s="73"/>
      <c r="S272" s="73"/>
      <c r="T272" s="73"/>
      <c r="U272" s="74"/>
    </row>
    <row r="273" spans="2:21" s="15" customFormat="1" x14ac:dyDescent="0.25">
      <c r="B273" s="72" t="s">
        <v>3085</v>
      </c>
      <c r="C273" s="73"/>
      <c r="D273" s="73"/>
      <c r="E273" s="73"/>
      <c r="F273" s="73"/>
      <c r="G273" s="73"/>
      <c r="H273" s="73"/>
      <c r="I273" s="73"/>
      <c r="J273" s="73"/>
      <c r="K273" s="73"/>
      <c r="L273" s="73"/>
      <c r="M273" s="73"/>
      <c r="N273" s="73"/>
      <c r="O273" s="73"/>
      <c r="P273" s="73"/>
      <c r="Q273" s="73"/>
      <c r="R273" s="73"/>
      <c r="S273" s="73"/>
      <c r="T273" s="73"/>
      <c r="U273" s="74"/>
    </row>
    <row r="274" spans="2:21" s="15" customFormat="1" x14ac:dyDescent="0.25">
      <c r="B274" s="72" t="s">
        <v>3310</v>
      </c>
      <c r="C274" s="73"/>
      <c r="D274" s="73"/>
      <c r="E274" s="73"/>
      <c r="F274" s="73"/>
      <c r="G274" s="73"/>
      <c r="H274" s="73"/>
      <c r="I274" s="73"/>
      <c r="J274" s="73"/>
      <c r="K274" s="73"/>
      <c r="L274" s="73"/>
      <c r="M274" s="73"/>
      <c r="N274" s="73"/>
      <c r="O274" s="73"/>
      <c r="P274" s="73"/>
      <c r="Q274" s="73"/>
      <c r="R274" s="73"/>
      <c r="S274" s="73"/>
      <c r="T274" s="73"/>
      <c r="U274" s="74"/>
    </row>
    <row r="275" spans="2:21" s="15" customFormat="1" x14ac:dyDescent="0.25">
      <c r="B275" s="72" t="s">
        <v>3311</v>
      </c>
      <c r="C275" s="73"/>
      <c r="D275" s="73"/>
      <c r="E275" s="73"/>
      <c r="F275" s="73"/>
      <c r="G275" s="73"/>
      <c r="H275" s="73"/>
      <c r="I275" s="73"/>
      <c r="J275" s="73"/>
      <c r="K275" s="73"/>
      <c r="L275" s="73"/>
      <c r="M275" s="73"/>
      <c r="N275" s="73"/>
      <c r="O275" s="73"/>
      <c r="P275" s="73"/>
      <c r="Q275" s="73"/>
      <c r="R275" s="73"/>
      <c r="S275" s="73"/>
      <c r="T275" s="73"/>
      <c r="U275" s="74"/>
    </row>
    <row r="276" spans="2:21" s="15" customFormat="1" x14ac:dyDescent="0.25">
      <c r="B276" s="72" t="s">
        <v>3312</v>
      </c>
      <c r="C276" s="73"/>
      <c r="D276" s="73"/>
      <c r="E276" s="73"/>
      <c r="F276" s="73"/>
      <c r="G276" s="73"/>
      <c r="H276" s="73"/>
      <c r="I276" s="73"/>
      <c r="J276" s="73"/>
      <c r="K276" s="73"/>
      <c r="L276" s="73"/>
      <c r="M276" s="73"/>
      <c r="N276" s="73"/>
      <c r="O276" s="73"/>
      <c r="P276" s="73"/>
      <c r="Q276" s="73"/>
      <c r="R276" s="73"/>
      <c r="S276" s="73"/>
      <c r="T276" s="73"/>
      <c r="U276" s="74"/>
    </row>
    <row r="277" spans="2:21" s="15" customFormat="1" x14ac:dyDescent="0.25">
      <c r="B277" s="72" t="s">
        <v>3313</v>
      </c>
      <c r="C277" s="73"/>
      <c r="D277" s="73"/>
      <c r="E277" s="73"/>
      <c r="F277" s="73"/>
      <c r="G277" s="73"/>
      <c r="H277" s="73"/>
      <c r="I277" s="73"/>
      <c r="J277" s="73"/>
      <c r="K277" s="73"/>
      <c r="L277" s="73"/>
      <c r="M277" s="73"/>
      <c r="N277" s="73"/>
      <c r="O277" s="73"/>
      <c r="P277" s="73"/>
      <c r="Q277" s="73"/>
      <c r="R277" s="73"/>
      <c r="S277" s="73"/>
      <c r="T277" s="73"/>
      <c r="U277" s="74"/>
    </row>
    <row r="278" spans="2:21" s="15" customFormat="1" x14ac:dyDescent="0.25">
      <c r="B278" s="72" t="s">
        <v>3181</v>
      </c>
      <c r="C278" s="73"/>
      <c r="D278" s="73"/>
      <c r="E278" s="73"/>
      <c r="F278" s="73"/>
      <c r="G278" s="73"/>
      <c r="H278" s="73"/>
      <c r="I278" s="73"/>
      <c r="J278" s="73"/>
      <c r="K278" s="73"/>
      <c r="L278" s="73"/>
      <c r="M278" s="73"/>
      <c r="N278" s="73"/>
      <c r="O278" s="73"/>
      <c r="P278" s="73"/>
      <c r="Q278" s="73"/>
      <c r="R278" s="73"/>
      <c r="S278" s="73"/>
      <c r="T278" s="73"/>
      <c r="U278" s="74"/>
    </row>
    <row r="279" spans="2:21" s="15" customFormat="1" x14ac:dyDescent="0.25">
      <c r="B279" s="72" t="s">
        <v>3085</v>
      </c>
      <c r="C279" s="73"/>
      <c r="D279" s="73"/>
      <c r="E279" s="73"/>
      <c r="F279" s="73"/>
      <c r="G279" s="73"/>
      <c r="H279" s="73"/>
      <c r="I279" s="73"/>
      <c r="J279" s="73"/>
      <c r="K279" s="73"/>
      <c r="L279" s="73"/>
      <c r="M279" s="73"/>
      <c r="N279" s="73"/>
      <c r="O279" s="73"/>
      <c r="P279" s="73"/>
      <c r="Q279" s="73"/>
      <c r="R279" s="73"/>
      <c r="S279" s="73"/>
      <c r="T279" s="73"/>
      <c r="U279" s="74"/>
    </row>
    <row r="280" spans="2:21" s="15" customFormat="1" x14ac:dyDescent="0.25">
      <c r="B280" s="72" t="s">
        <v>3314</v>
      </c>
      <c r="C280" s="73"/>
      <c r="D280" s="73"/>
      <c r="E280" s="73"/>
      <c r="F280" s="73"/>
      <c r="G280" s="73"/>
      <c r="H280" s="73"/>
      <c r="I280" s="73"/>
      <c r="J280" s="73"/>
      <c r="K280" s="73"/>
      <c r="L280" s="73"/>
      <c r="M280" s="73"/>
      <c r="N280" s="73"/>
      <c r="O280" s="73"/>
      <c r="P280" s="73"/>
      <c r="Q280" s="73"/>
      <c r="R280" s="73"/>
      <c r="S280" s="73"/>
      <c r="T280" s="73"/>
      <c r="U280" s="74"/>
    </row>
    <row r="281" spans="2:21" s="15" customFormat="1" x14ac:dyDescent="0.25">
      <c r="B281" s="72" t="s">
        <v>3315</v>
      </c>
      <c r="C281" s="73"/>
      <c r="D281" s="73"/>
      <c r="E281" s="73"/>
      <c r="F281" s="73"/>
      <c r="G281" s="73"/>
      <c r="H281" s="73"/>
      <c r="I281" s="73"/>
      <c r="J281" s="73"/>
      <c r="K281" s="73"/>
      <c r="L281" s="73"/>
      <c r="M281" s="73"/>
      <c r="N281" s="73"/>
      <c r="O281" s="73"/>
      <c r="P281" s="73"/>
      <c r="Q281" s="73"/>
      <c r="R281" s="73"/>
      <c r="S281" s="73"/>
      <c r="T281" s="73"/>
      <c r="U281" s="74"/>
    </row>
    <row r="282" spans="2:21" s="15" customFormat="1" x14ac:dyDescent="0.25">
      <c r="B282" s="72" t="s">
        <v>3316</v>
      </c>
      <c r="C282" s="73"/>
      <c r="D282" s="73"/>
      <c r="E282" s="73"/>
      <c r="F282" s="73"/>
      <c r="G282" s="73"/>
      <c r="H282" s="73"/>
      <c r="I282" s="73"/>
      <c r="J282" s="73"/>
      <c r="K282" s="73"/>
      <c r="L282" s="73"/>
      <c r="M282" s="73"/>
      <c r="N282" s="73"/>
      <c r="O282" s="73"/>
      <c r="P282" s="73"/>
      <c r="Q282" s="73"/>
      <c r="R282" s="73"/>
      <c r="S282" s="73"/>
      <c r="T282" s="73"/>
      <c r="U282" s="74"/>
    </row>
    <row r="283" spans="2:21" s="15" customFormat="1" x14ac:dyDescent="0.25">
      <c r="B283" s="72" t="s">
        <v>3317</v>
      </c>
      <c r="C283" s="73"/>
      <c r="D283" s="73"/>
      <c r="E283" s="73"/>
      <c r="F283" s="73"/>
      <c r="G283" s="73"/>
      <c r="H283" s="73"/>
      <c r="I283" s="73"/>
      <c r="J283" s="73"/>
      <c r="K283" s="73"/>
      <c r="L283" s="73"/>
      <c r="M283" s="73"/>
      <c r="N283" s="73"/>
      <c r="O283" s="73"/>
      <c r="P283" s="73"/>
      <c r="Q283" s="73"/>
      <c r="R283" s="73"/>
      <c r="S283" s="73"/>
      <c r="T283" s="73"/>
      <c r="U283" s="74"/>
    </row>
    <row r="284" spans="2:21" s="15" customFormat="1" x14ac:dyDescent="0.25">
      <c r="B284" s="72" t="s">
        <v>3083</v>
      </c>
      <c r="C284" s="73"/>
      <c r="D284" s="73"/>
      <c r="E284" s="73"/>
      <c r="F284" s="73"/>
      <c r="G284" s="73"/>
      <c r="H284" s="73"/>
      <c r="I284" s="73"/>
      <c r="J284" s="73"/>
      <c r="K284" s="73"/>
      <c r="L284" s="73"/>
      <c r="M284" s="73"/>
      <c r="N284" s="73"/>
      <c r="O284" s="73"/>
      <c r="P284" s="73"/>
      <c r="Q284" s="73"/>
      <c r="R284" s="73"/>
      <c r="S284" s="73"/>
      <c r="T284" s="73"/>
      <c r="U284" s="74"/>
    </row>
    <row r="285" spans="2:21" s="15" customFormat="1" x14ac:dyDescent="0.25">
      <c r="B285" s="72" t="s">
        <v>3093</v>
      </c>
      <c r="C285" s="73"/>
      <c r="D285" s="73"/>
      <c r="E285" s="73"/>
      <c r="F285" s="73"/>
      <c r="G285" s="73"/>
      <c r="H285" s="73"/>
      <c r="I285" s="73"/>
      <c r="J285" s="73"/>
      <c r="K285" s="73"/>
      <c r="L285" s="73"/>
      <c r="M285" s="73"/>
      <c r="N285" s="73"/>
      <c r="O285" s="73"/>
      <c r="P285" s="73"/>
      <c r="Q285" s="73"/>
      <c r="R285" s="73"/>
      <c r="S285" s="73"/>
      <c r="T285" s="73"/>
      <c r="U285" s="74"/>
    </row>
    <row r="286" spans="2:21" s="15" customFormat="1" x14ac:dyDescent="0.25">
      <c r="B286" s="72" t="s">
        <v>3199</v>
      </c>
      <c r="C286" s="73"/>
      <c r="D286" s="73"/>
      <c r="E286" s="73"/>
      <c r="F286" s="73"/>
      <c r="G286" s="73"/>
      <c r="H286" s="73"/>
      <c r="I286" s="73"/>
      <c r="J286" s="73"/>
      <c r="K286" s="73"/>
      <c r="L286" s="73"/>
      <c r="M286" s="73"/>
      <c r="N286" s="73"/>
      <c r="O286" s="73"/>
      <c r="P286" s="73"/>
      <c r="Q286" s="73"/>
      <c r="R286" s="73"/>
      <c r="S286" s="73"/>
      <c r="T286" s="73"/>
      <c r="U286" s="74"/>
    </row>
    <row r="287" spans="2:21" s="15" customFormat="1" x14ac:dyDescent="0.25">
      <c r="B287" s="72" t="s">
        <v>3085</v>
      </c>
      <c r="C287" s="73"/>
      <c r="D287" s="73"/>
      <c r="E287" s="73"/>
      <c r="F287" s="73"/>
      <c r="G287" s="73"/>
      <c r="H287" s="73"/>
      <c r="I287" s="73"/>
      <c r="J287" s="73"/>
      <c r="K287" s="73"/>
      <c r="L287" s="73"/>
      <c r="M287" s="73"/>
      <c r="N287" s="73"/>
      <c r="O287" s="73"/>
      <c r="P287" s="73"/>
      <c r="Q287" s="73"/>
      <c r="R287" s="73"/>
      <c r="S287" s="73"/>
      <c r="T287" s="73"/>
      <c r="U287" s="74"/>
    </row>
    <row r="288" spans="2:21" s="15" customFormat="1" x14ac:dyDescent="0.25">
      <c r="B288" s="72" t="s">
        <v>3200</v>
      </c>
      <c r="C288" s="73"/>
      <c r="D288" s="73"/>
      <c r="E288" s="73"/>
      <c r="F288" s="73"/>
      <c r="G288" s="73"/>
      <c r="H288" s="73"/>
      <c r="I288" s="73"/>
      <c r="J288" s="73"/>
      <c r="K288" s="73"/>
      <c r="L288" s="73"/>
      <c r="M288" s="73"/>
      <c r="N288" s="73"/>
      <c r="O288" s="73"/>
      <c r="P288" s="73"/>
      <c r="Q288" s="73"/>
      <c r="R288" s="73"/>
      <c r="S288" s="73"/>
      <c r="T288" s="73"/>
      <c r="U288" s="74"/>
    </row>
    <row r="289" spans="2:21" s="15" customFormat="1" x14ac:dyDescent="0.25">
      <c r="B289" s="72" t="s">
        <v>3318</v>
      </c>
      <c r="C289" s="73"/>
      <c r="D289" s="73"/>
      <c r="E289" s="73"/>
      <c r="F289" s="73"/>
      <c r="G289" s="73"/>
      <c r="H289" s="73"/>
      <c r="I289" s="73"/>
      <c r="J289" s="73"/>
      <c r="K289" s="73"/>
      <c r="L289" s="73"/>
      <c r="M289" s="73"/>
      <c r="N289" s="73"/>
      <c r="O289" s="73"/>
      <c r="P289" s="73"/>
      <c r="Q289" s="73"/>
      <c r="R289" s="73"/>
      <c r="S289" s="73"/>
      <c r="T289" s="73"/>
      <c r="U289" s="74"/>
    </row>
    <row r="290" spans="2:21" s="15" customFormat="1" x14ac:dyDescent="0.25">
      <c r="B290" s="72" t="s">
        <v>3181</v>
      </c>
      <c r="C290" s="73"/>
      <c r="D290" s="73"/>
      <c r="E290" s="73"/>
      <c r="F290" s="73"/>
      <c r="G290" s="73"/>
      <c r="H290" s="73"/>
      <c r="I290" s="73"/>
      <c r="J290" s="73"/>
      <c r="K290" s="73"/>
      <c r="L290" s="73"/>
      <c r="M290" s="73"/>
      <c r="N290" s="73"/>
      <c r="O290" s="73"/>
      <c r="P290" s="73"/>
      <c r="Q290" s="73"/>
      <c r="R290" s="73"/>
      <c r="S290" s="73"/>
      <c r="T290" s="73"/>
      <c r="U290" s="74"/>
    </row>
    <row r="291" spans="2:21" s="15" customFormat="1" x14ac:dyDescent="0.25">
      <c r="B291" s="72" t="s">
        <v>3085</v>
      </c>
      <c r="C291" s="73"/>
      <c r="D291" s="73"/>
      <c r="E291" s="73"/>
      <c r="F291" s="73"/>
      <c r="G291" s="73"/>
      <c r="H291" s="73"/>
      <c r="I291" s="73"/>
      <c r="J291" s="73"/>
      <c r="K291" s="73"/>
      <c r="L291" s="73"/>
      <c r="M291" s="73"/>
      <c r="N291" s="73"/>
      <c r="O291" s="73"/>
      <c r="P291" s="73"/>
      <c r="Q291" s="73"/>
      <c r="R291" s="73"/>
      <c r="S291" s="73"/>
      <c r="T291" s="73"/>
      <c r="U291" s="74"/>
    </row>
    <row r="292" spans="2:21" s="15" customFormat="1" x14ac:dyDescent="0.25">
      <c r="B292" s="72" t="s">
        <v>3319</v>
      </c>
      <c r="C292" s="73"/>
      <c r="D292" s="73"/>
      <c r="E292" s="73"/>
      <c r="F292" s="73"/>
      <c r="G292" s="73"/>
      <c r="H292" s="73"/>
      <c r="I292" s="73"/>
      <c r="J292" s="73"/>
      <c r="K292" s="73"/>
      <c r="L292" s="73"/>
      <c r="M292" s="73"/>
      <c r="N292" s="73"/>
      <c r="O292" s="73"/>
      <c r="P292" s="73"/>
      <c r="Q292" s="73"/>
      <c r="R292" s="73"/>
      <c r="S292" s="73"/>
      <c r="T292" s="73"/>
      <c r="U292" s="74"/>
    </row>
    <row r="293" spans="2:21" s="15" customFormat="1" x14ac:dyDescent="0.25">
      <c r="B293" s="72" t="s">
        <v>3320</v>
      </c>
      <c r="C293" s="73"/>
      <c r="D293" s="73"/>
      <c r="E293" s="73"/>
      <c r="F293" s="73"/>
      <c r="G293" s="73"/>
      <c r="H293" s="73"/>
      <c r="I293" s="73"/>
      <c r="J293" s="73"/>
      <c r="K293" s="73"/>
      <c r="L293" s="73"/>
      <c r="M293" s="73"/>
      <c r="N293" s="73"/>
      <c r="O293" s="73"/>
      <c r="P293" s="73"/>
      <c r="Q293" s="73"/>
      <c r="R293" s="73"/>
      <c r="S293" s="73"/>
      <c r="T293" s="73"/>
      <c r="U293" s="74"/>
    </row>
    <row r="294" spans="2:21" s="15" customFormat="1" x14ac:dyDescent="0.25">
      <c r="B294" s="72" t="s">
        <v>3181</v>
      </c>
      <c r="C294" s="73"/>
      <c r="D294" s="73"/>
      <c r="E294" s="73"/>
      <c r="F294" s="73"/>
      <c r="G294" s="73"/>
      <c r="H294" s="73"/>
      <c r="I294" s="73"/>
      <c r="J294" s="73"/>
      <c r="K294" s="73"/>
      <c r="L294" s="73"/>
      <c r="M294" s="73"/>
      <c r="N294" s="73"/>
      <c r="O294" s="73"/>
      <c r="P294" s="73"/>
      <c r="Q294" s="73"/>
      <c r="R294" s="73"/>
      <c r="S294" s="73"/>
      <c r="T294" s="73"/>
      <c r="U294" s="74"/>
    </row>
    <row r="295" spans="2:21" s="15" customFormat="1" x14ac:dyDescent="0.25">
      <c r="B295" s="72" t="s">
        <v>3085</v>
      </c>
      <c r="C295" s="73"/>
      <c r="D295" s="73"/>
      <c r="E295" s="73"/>
      <c r="F295" s="73"/>
      <c r="G295" s="73"/>
      <c r="H295" s="73"/>
      <c r="I295" s="73"/>
      <c r="J295" s="73"/>
      <c r="K295" s="73"/>
      <c r="L295" s="73"/>
      <c r="M295" s="73"/>
      <c r="N295" s="73"/>
      <c r="O295" s="73"/>
      <c r="P295" s="73"/>
      <c r="Q295" s="73"/>
      <c r="R295" s="73"/>
      <c r="S295" s="73"/>
      <c r="T295" s="73"/>
      <c r="U295" s="74"/>
    </row>
    <row r="296" spans="2:21" s="15" customFormat="1" x14ac:dyDescent="0.25">
      <c r="B296" s="72" t="s">
        <v>3319</v>
      </c>
      <c r="C296" s="73"/>
      <c r="D296" s="73"/>
      <c r="E296" s="73"/>
      <c r="F296" s="73"/>
      <c r="G296" s="73"/>
      <c r="H296" s="73"/>
      <c r="I296" s="73"/>
      <c r="J296" s="73"/>
      <c r="K296" s="73"/>
      <c r="L296" s="73"/>
      <c r="M296" s="73"/>
      <c r="N296" s="73"/>
      <c r="O296" s="73"/>
      <c r="P296" s="73"/>
      <c r="Q296" s="73"/>
      <c r="R296" s="73"/>
      <c r="S296" s="73"/>
      <c r="T296" s="73"/>
      <c r="U296" s="74"/>
    </row>
    <row r="297" spans="2:21" s="15" customFormat="1" x14ac:dyDescent="0.25">
      <c r="B297" s="72" t="s">
        <v>3321</v>
      </c>
      <c r="C297" s="73"/>
      <c r="D297" s="73"/>
      <c r="E297" s="73"/>
      <c r="F297" s="73"/>
      <c r="G297" s="73"/>
      <c r="H297" s="73"/>
      <c r="I297" s="73"/>
      <c r="J297" s="73"/>
      <c r="K297" s="73"/>
      <c r="L297" s="73"/>
      <c r="M297" s="73"/>
      <c r="N297" s="73"/>
      <c r="O297" s="73"/>
      <c r="P297" s="73"/>
      <c r="Q297" s="73"/>
      <c r="R297" s="73"/>
      <c r="S297" s="73"/>
      <c r="T297" s="73"/>
      <c r="U297" s="74"/>
    </row>
    <row r="298" spans="2:21" s="15" customFormat="1" x14ac:dyDescent="0.25">
      <c r="B298" s="72" t="s">
        <v>3083</v>
      </c>
      <c r="C298" s="73"/>
      <c r="D298" s="73"/>
      <c r="E298" s="73"/>
      <c r="F298" s="73"/>
      <c r="G298" s="73"/>
      <c r="H298" s="73"/>
      <c r="I298" s="73"/>
      <c r="J298" s="73"/>
      <c r="K298" s="73"/>
      <c r="L298" s="73"/>
      <c r="M298" s="73"/>
      <c r="N298" s="73"/>
      <c r="O298" s="73"/>
      <c r="P298" s="73"/>
      <c r="Q298" s="73"/>
      <c r="R298" s="73"/>
      <c r="S298" s="73"/>
      <c r="T298" s="73"/>
      <c r="U298" s="74"/>
    </row>
    <row r="299" spans="2:21" s="15" customFormat="1" x14ac:dyDescent="0.25">
      <c r="B299" s="72" t="s">
        <v>3208</v>
      </c>
      <c r="C299" s="73"/>
      <c r="D299" s="73"/>
      <c r="E299" s="73"/>
      <c r="F299" s="73"/>
      <c r="G299" s="73"/>
      <c r="H299" s="73"/>
      <c r="I299" s="73"/>
      <c r="J299" s="73"/>
      <c r="K299" s="73"/>
      <c r="L299" s="73"/>
      <c r="M299" s="73"/>
      <c r="N299" s="73"/>
      <c r="O299" s="73"/>
      <c r="P299" s="73"/>
      <c r="Q299" s="73"/>
      <c r="R299" s="73"/>
      <c r="S299" s="73"/>
      <c r="T299" s="73"/>
      <c r="U299" s="74"/>
    </row>
    <row r="300" spans="2:21" s="15" customFormat="1" x14ac:dyDescent="0.25">
      <c r="B300" s="72" t="s">
        <v>3322</v>
      </c>
      <c r="C300" s="73"/>
      <c r="D300" s="73"/>
      <c r="E300" s="73"/>
      <c r="F300" s="73"/>
      <c r="G300" s="73"/>
      <c r="H300" s="73"/>
      <c r="I300" s="73"/>
      <c r="J300" s="73"/>
      <c r="K300" s="73"/>
      <c r="L300" s="73"/>
      <c r="M300" s="73"/>
      <c r="N300" s="73"/>
      <c r="O300" s="73"/>
      <c r="P300" s="73"/>
      <c r="Q300" s="73"/>
      <c r="R300" s="73"/>
      <c r="S300" s="73"/>
      <c r="T300" s="73"/>
      <c r="U300" s="74"/>
    </row>
    <row r="301" spans="2:21" s="15" customFormat="1" x14ac:dyDescent="0.25">
      <c r="B301" s="72" t="s">
        <v>3050</v>
      </c>
      <c r="C301" s="73"/>
      <c r="D301" s="73"/>
      <c r="E301" s="73"/>
      <c r="F301" s="73"/>
      <c r="G301" s="73"/>
      <c r="H301" s="73"/>
      <c r="I301" s="73"/>
      <c r="J301" s="73"/>
      <c r="K301" s="73"/>
      <c r="L301" s="73"/>
      <c r="M301" s="73"/>
      <c r="N301" s="73"/>
      <c r="O301" s="73"/>
      <c r="P301" s="73"/>
      <c r="Q301" s="73"/>
      <c r="R301" s="73"/>
      <c r="S301" s="73"/>
      <c r="T301" s="73"/>
      <c r="U301" s="74"/>
    </row>
    <row r="302" spans="2:21" s="15" customFormat="1" x14ac:dyDescent="0.25">
      <c r="B302" s="72" t="s">
        <v>3051</v>
      </c>
      <c r="C302" s="73"/>
      <c r="D302" s="73"/>
      <c r="E302" s="73"/>
      <c r="F302" s="73"/>
      <c r="G302" s="73"/>
      <c r="H302" s="73"/>
      <c r="I302" s="73"/>
      <c r="J302" s="73"/>
      <c r="K302" s="73"/>
      <c r="L302" s="73"/>
      <c r="M302" s="73"/>
      <c r="N302" s="73"/>
      <c r="O302" s="73"/>
      <c r="P302" s="73"/>
      <c r="Q302" s="73"/>
      <c r="R302" s="73"/>
      <c r="S302" s="73"/>
      <c r="T302" s="73"/>
      <c r="U302" s="74"/>
    </row>
    <row r="303" spans="2:21" s="15" customFormat="1" x14ac:dyDescent="0.25">
      <c r="B303" s="72" t="s">
        <v>3323</v>
      </c>
      <c r="C303" s="73"/>
      <c r="D303" s="73"/>
      <c r="E303" s="73"/>
      <c r="F303" s="73"/>
      <c r="G303" s="73"/>
      <c r="H303" s="73"/>
      <c r="I303" s="73"/>
      <c r="J303" s="73"/>
      <c r="K303" s="73"/>
      <c r="L303" s="73"/>
      <c r="M303" s="73"/>
      <c r="N303" s="73"/>
      <c r="O303" s="73"/>
      <c r="P303" s="73"/>
      <c r="Q303" s="73"/>
      <c r="R303" s="73"/>
      <c r="S303" s="73"/>
      <c r="T303" s="73"/>
      <c r="U303" s="74"/>
    </row>
    <row r="304" spans="2:21" s="15" customFormat="1" x14ac:dyDescent="0.25">
      <c r="B304" s="72" t="s">
        <v>3324</v>
      </c>
      <c r="C304" s="73"/>
      <c r="D304" s="73"/>
      <c r="E304" s="73"/>
      <c r="F304" s="73"/>
      <c r="G304" s="73"/>
      <c r="H304" s="73"/>
      <c r="I304" s="73"/>
      <c r="J304" s="73"/>
      <c r="K304" s="73"/>
      <c r="L304" s="73"/>
      <c r="M304" s="73"/>
      <c r="N304" s="73"/>
      <c r="O304" s="73"/>
      <c r="P304" s="73"/>
      <c r="Q304" s="73"/>
      <c r="R304" s="73"/>
      <c r="S304" s="73"/>
      <c r="T304" s="73"/>
      <c r="U304" s="74"/>
    </row>
    <row r="305" spans="2:21" s="15" customFormat="1" x14ac:dyDescent="0.25">
      <c r="B305" s="72" t="s">
        <v>3054</v>
      </c>
      <c r="C305" s="73"/>
      <c r="D305" s="73"/>
      <c r="E305" s="73"/>
      <c r="F305" s="73"/>
      <c r="G305" s="73"/>
      <c r="H305" s="73"/>
      <c r="I305" s="73"/>
      <c r="J305" s="73"/>
      <c r="K305" s="73"/>
      <c r="L305" s="73"/>
      <c r="M305" s="73"/>
      <c r="N305" s="73"/>
      <c r="O305" s="73"/>
      <c r="P305" s="73"/>
      <c r="Q305" s="73"/>
      <c r="R305" s="73"/>
      <c r="S305" s="73"/>
      <c r="T305" s="73"/>
      <c r="U305" s="74"/>
    </row>
    <row r="306" spans="2:21" s="15" customFormat="1" x14ac:dyDescent="0.25">
      <c r="B306" s="72" t="s">
        <v>3325</v>
      </c>
      <c r="C306" s="73"/>
      <c r="D306" s="73"/>
      <c r="E306" s="73"/>
      <c r="F306" s="73"/>
      <c r="G306" s="73"/>
      <c r="H306" s="73"/>
      <c r="I306" s="73"/>
      <c r="J306" s="73"/>
      <c r="K306" s="73"/>
      <c r="L306" s="73"/>
      <c r="M306" s="73"/>
      <c r="N306" s="73"/>
      <c r="O306" s="73"/>
      <c r="P306" s="73"/>
      <c r="Q306" s="73"/>
      <c r="R306" s="73"/>
      <c r="S306" s="73"/>
      <c r="T306" s="73"/>
      <c r="U306" s="74"/>
    </row>
    <row r="307" spans="2:21" s="15" customFormat="1" x14ac:dyDescent="0.25">
      <c r="B307" s="72" t="s">
        <v>3056</v>
      </c>
      <c r="C307" s="73"/>
      <c r="D307" s="73"/>
      <c r="E307" s="73"/>
      <c r="F307" s="73"/>
      <c r="G307" s="73"/>
      <c r="H307" s="73"/>
      <c r="I307" s="73"/>
      <c r="J307" s="73"/>
      <c r="K307" s="73"/>
      <c r="L307" s="73"/>
      <c r="M307" s="73"/>
      <c r="N307" s="73"/>
      <c r="O307" s="73"/>
      <c r="P307" s="73"/>
      <c r="Q307" s="73"/>
      <c r="R307" s="73"/>
      <c r="S307" s="73"/>
      <c r="T307" s="73"/>
      <c r="U307" s="74"/>
    </row>
    <row r="308" spans="2:21" s="15" customFormat="1" x14ac:dyDescent="0.25">
      <c r="B308" s="72" t="s">
        <v>3057</v>
      </c>
      <c r="C308" s="73"/>
      <c r="D308" s="73"/>
      <c r="E308" s="73"/>
      <c r="F308" s="73"/>
      <c r="G308" s="73"/>
      <c r="H308" s="73"/>
      <c r="I308" s="73"/>
      <c r="J308" s="73"/>
      <c r="K308" s="73"/>
      <c r="L308" s="73"/>
      <c r="M308" s="73"/>
      <c r="N308" s="73"/>
      <c r="O308" s="73"/>
      <c r="P308" s="73"/>
      <c r="Q308" s="73"/>
      <c r="R308" s="73"/>
      <c r="S308" s="73"/>
      <c r="T308" s="73"/>
      <c r="U308" s="74"/>
    </row>
    <row r="309" spans="2:21" s="15" customFormat="1" x14ac:dyDescent="0.25">
      <c r="B309" s="72" t="s">
        <v>3058</v>
      </c>
      <c r="C309" s="73"/>
      <c r="D309" s="73"/>
      <c r="E309" s="73"/>
      <c r="F309" s="73"/>
      <c r="G309" s="73"/>
      <c r="H309" s="73"/>
      <c r="I309" s="73"/>
      <c r="J309" s="73"/>
      <c r="K309" s="73"/>
      <c r="L309" s="73"/>
      <c r="M309" s="73"/>
      <c r="N309" s="73"/>
      <c r="O309" s="73"/>
      <c r="P309" s="73"/>
      <c r="Q309" s="73"/>
      <c r="R309" s="73"/>
      <c r="S309" s="73"/>
      <c r="T309" s="73"/>
      <c r="U309" s="74"/>
    </row>
    <row r="310" spans="2:21" s="15" customFormat="1" x14ac:dyDescent="0.25">
      <c r="B310" s="72" t="s">
        <v>3059</v>
      </c>
      <c r="C310" s="73"/>
      <c r="D310" s="73"/>
      <c r="E310" s="73"/>
      <c r="F310" s="73"/>
      <c r="G310" s="73"/>
      <c r="H310" s="73"/>
      <c r="I310" s="73"/>
      <c r="J310" s="73"/>
      <c r="K310" s="73"/>
      <c r="L310" s="73"/>
      <c r="M310" s="73"/>
      <c r="N310" s="73"/>
      <c r="O310" s="73"/>
      <c r="P310" s="73"/>
      <c r="Q310" s="73"/>
      <c r="R310" s="73"/>
      <c r="S310" s="73"/>
      <c r="T310" s="73"/>
      <c r="U310" s="74"/>
    </row>
    <row r="311" spans="2:21" s="15" customFormat="1" x14ac:dyDescent="0.25">
      <c r="B311" s="72" t="s">
        <v>3326</v>
      </c>
      <c r="C311" s="73"/>
      <c r="D311" s="73"/>
      <c r="E311" s="73"/>
      <c r="F311" s="73"/>
      <c r="G311" s="73"/>
      <c r="H311" s="73"/>
      <c r="I311" s="73"/>
      <c r="J311" s="73"/>
      <c r="K311" s="73"/>
      <c r="L311" s="73"/>
      <c r="M311" s="73"/>
      <c r="N311" s="73"/>
      <c r="O311" s="73"/>
      <c r="P311" s="73"/>
      <c r="Q311" s="73"/>
      <c r="R311" s="73"/>
      <c r="S311" s="73"/>
      <c r="T311" s="73"/>
      <c r="U311" s="74"/>
    </row>
    <row r="312" spans="2:21" s="15" customFormat="1" x14ac:dyDescent="0.25">
      <c r="B312" s="72" t="s">
        <v>3327</v>
      </c>
      <c r="C312" s="73"/>
      <c r="D312" s="73"/>
      <c r="E312" s="73"/>
      <c r="F312" s="73"/>
      <c r="G312" s="73"/>
      <c r="H312" s="73"/>
      <c r="I312" s="73"/>
      <c r="J312" s="73"/>
      <c r="K312" s="73"/>
      <c r="L312" s="73"/>
      <c r="M312" s="73"/>
      <c r="N312" s="73"/>
      <c r="O312" s="73"/>
      <c r="P312" s="73"/>
      <c r="Q312" s="73"/>
      <c r="R312" s="73"/>
      <c r="S312" s="73"/>
      <c r="T312" s="73"/>
      <c r="U312" s="74"/>
    </row>
    <row r="313" spans="2:21" s="15" customFormat="1" x14ac:dyDescent="0.25">
      <c r="B313" s="72" t="s">
        <v>3328</v>
      </c>
      <c r="C313" s="73"/>
      <c r="D313" s="73"/>
      <c r="E313" s="73"/>
      <c r="F313" s="73"/>
      <c r="G313" s="73"/>
      <c r="H313" s="73"/>
      <c r="I313" s="73"/>
      <c r="J313" s="73"/>
      <c r="K313" s="73"/>
      <c r="L313" s="73"/>
      <c r="M313" s="73"/>
      <c r="N313" s="73"/>
      <c r="O313" s="73"/>
      <c r="P313" s="73"/>
      <c r="Q313" s="73"/>
      <c r="R313" s="73"/>
      <c r="S313" s="73"/>
      <c r="T313" s="73"/>
      <c r="U313" s="74"/>
    </row>
    <row r="314" spans="2:21" s="15" customFormat="1" x14ac:dyDescent="0.25">
      <c r="B314" s="72" t="s">
        <v>3221</v>
      </c>
      <c r="C314" s="73"/>
      <c r="D314" s="73"/>
      <c r="E314" s="73"/>
      <c r="F314" s="73"/>
      <c r="G314" s="73"/>
      <c r="H314" s="73"/>
      <c r="I314" s="73"/>
      <c r="J314" s="73"/>
      <c r="K314" s="73"/>
      <c r="L314" s="73"/>
      <c r="M314" s="73"/>
      <c r="N314" s="73"/>
      <c r="O314" s="73"/>
      <c r="P314" s="73"/>
      <c r="Q314" s="73"/>
      <c r="R314" s="73"/>
      <c r="S314" s="73"/>
      <c r="T314" s="73"/>
      <c r="U314" s="74"/>
    </row>
    <row r="315" spans="2:21" s="15" customFormat="1" x14ac:dyDescent="0.25">
      <c r="B315" s="72" t="s">
        <v>3062</v>
      </c>
      <c r="C315" s="73"/>
      <c r="D315" s="73"/>
      <c r="E315" s="73"/>
      <c r="F315" s="73"/>
      <c r="G315" s="73"/>
      <c r="H315" s="73"/>
      <c r="I315" s="73"/>
      <c r="J315" s="73"/>
      <c r="K315" s="73"/>
      <c r="L315" s="73"/>
      <c r="M315" s="73"/>
      <c r="N315" s="73"/>
      <c r="O315" s="73"/>
      <c r="P315" s="73"/>
      <c r="Q315" s="73"/>
      <c r="R315" s="73"/>
      <c r="S315" s="73"/>
      <c r="T315" s="73"/>
      <c r="U315" s="74"/>
    </row>
    <row r="316" spans="2:21" s="15" customFormat="1" x14ac:dyDescent="0.25">
      <c r="B316" s="72" t="s">
        <v>3063</v>
      </c>
      <c r="C316" s="73"/>
      <c r="D316" s="73"/>
      <c r="E316" s="73"/>
      <c r="F316" s="73"/>
      <c r="G316" s="73"/>
      <c r="H316" s="73"/>
      <c r="I316" s="73"/>
      <c r="J316" s="73"/>
      <c r="K316" s="73"/>
      <c r="L316" s="73"/>
      <c r="M316" s="73"/>
      <c r="N316" s="73"/>
      <c r="O316" s="73"/>
      <c r="P316" s="73"/>
      <c r="Q316" s="73"/>
      <c r="R316" s="73"/>
      <c r="S316" s="73"/>
      <c r="T316" s="73"/>
      <c r="U316" s="74"/>
    </row>
    <row r="317" spans="2:21" s="15" customFormat="1" x14ac:dyDescent="0.25">
      <c r="B317" s="72" t="s">
        <v>3329</v>
      </c>
      <c r="C317" s="73"/>
      <c r="D317" s="73"/>
      <c r="E317" s="73"/>
      <c r="F317" s="73"/>
      <c r="G317" s="73"/>
      <c r="H317" s="73"/>
      <c r="I317" s="73"/>
      <c r="J317" s="73"/>
      <c r="K317" s="73"/>
      <c r="L317" s="73"/>
      <c r="M317" s="73"/>
      <c r="N317" s="73"/>
      <c r="O317" s="73"/>
      <c r="P317" s="73"/>
      <c r="Q317" s="73"/>
      <c r="R317" s="73"/>
      <c r="S317" s="73"/>
      <c r="T317" s="73"/>
      <c r="U317" s="74"/>
    </row>
    <row r="318" spans="2:21" s="15" customFormat="1" x14ac:dyDescent="0.25">
      <c r="B318" s="72" t="s">
        <v>3330</v>
      </c>
      <c r="C318" s="73"/>
      <c r="D318" s="73"/>
      <c r="E318" s="73"/>
      <c r="F318" s="73"/>
      <c r="G318" s="73"/>
      <c r="H318" s="73"/>
      <c r="I318" s="73"/>
      <c r="J318" s="73"/>
      <c r="K318" s="73"/>
      <c r="L318" s="73"/>
      <c r="M318" s="73"/>
      <c r="N318" s="73"/>
      <c r="O318" s="73"/>
      <c r="P318" s="73"/>
      <c r="Q318" s="73"/>
      <c r="R318" s="73"/>
      <c r="S318" s="73"/>
      <c r="T318" s="73"/>
      <c r="U318" s="74"/>
    </row>
    <row r="319" spans="2:21" s="15" customFormat="1" x14ac:dyDescent="0.25">
      <c r="B319" s="72" t="s">
        <v>3066</v>
      </c>
      <c r="C319" s="73"/>
      <c r="D319" s="73"/>
      <c r="E319" s="73"/>
      <c r="F319" s="73"/>
      <c r="G319" s="73"/>
      <c r="H319" s="73"/>
      <c r="I319" s="73"/>
      <c r="J319" s="73"/>
      <c r="K319" s="73"/>
      <c r="L319" s="73"/>
      <c r="M319" s="73"/>
      <c r="N319" s="73"/>
      <c r="O319" s="73"/>
      <c r="P319" s="73"/>
      <c r="Q319" s="73"/>
      <c r="R319" s="73"/>
      <c r="S319" s="73"/>
      <c r="T319" s="73"/>
      <c r="U319" s="74"/>
    </row>
    <row r="320" spans="2:21" s="15" customFormat="1" x14ac:dyDescent="0.25">
      <c r="B320" s="72" t="s">
        <v>3067</v>
      </c>
      <c r="C320" s="73"/>
      <c r="D320" s="73"/>
      <c r="E320" s="73"/>
      <c r="F320" s="73"/>
      <c r="G320" s="73"/>
      <c r="H320" s="73"/>
      <c r="I320" s="73"/>
      <c r="J320" s="73"/>
      <c r="K320" s="73"/>
      <c r="L320" s="73"/>
      <c r="M320" s="73"/>
      <c r="N320" s="73"/>
      <c r="O320" s="73"/>
      <c r="P320" s="73"/>
      <c r="Q320" s="73"/>
      <c r="R320" s="73"/>
      <c r="S320" s="73"/>
      <c r="T320" s="73"/>
      <c r="U320" s="74"/>
    </row>
    <row r="321" spans="2:21" s="15" customFormat="1" x14ac:dyDescent="0.25">
      <c r="B321" s="72" t="s">
        <v>3224</v>
      </c>
      <c r="C321" s="73"/>
      <c r="D321" s="73"/>
      <c r="E321" s="73"/>
      <c r="F321" s="73"/>
      <c r="G321" s="73"/>
      <c r="H321" s="73"/>
      <c r="I321" s="73"/>
      <c r="J321" s="73"/>
      <c r="K321" s="73"/>
      <c r="L321" s="73"/>
      <c r="M321" s="73"/>
      <c r="N321" s="73"/>
      <c r="O321" s="73"/>
      <c r="P321" s="73"/>
      <c r="Q321" s="73"/>
      <c r="R321" s="73"/>
      <c r="S321" s="73"/>
      <c r="T321" s="73"/>
      <c r="U321" s="74"/>
    </row>
    <row r="322" spans="2:21" s="15" customFormat="1" x14ac:dyDescent="0.25">
      <c r="B322" s="72" t="s">
        <v>3225</v>
      </c>
      <c r="C322" s="73"/>
      <c r="D322" s="73"/>
      <c r="E322" s="73"/>
      <c r="F322" s="73"/>
      <c r="G322" s="73"/>
      <c r="H322" s="73"/>
      <c r="I322" s="73"/>
      <c r="J322" s="73"/>
      <c r="K322" s="73"/>
      <c r="L322" s="73"/>
      <c r="M322" s="73"/>
      <c r="N322" s="73"/>
      <c r="O322" s="73"/>
      <c r="P322" s="73"/>
      <c r="Q322" s="73"/>
      <c r="R322" s="73"/>
      <c r="S322" s="73"/>
      <c r="T322" s="73"/>
      <c r="U322" s="74"/>
    </row>
    <row r="323" spans="2:21" s="15" customFormat="1" x14ac:dyDescent="0.25">
      <c r="B323" s="72" t="s">
        <v>3331</v>
      </c>
      <c r="C323" s="73"/>
      <c r="D323" s="73"/>
      <c r="E323" s="73"/>
      <c r="F323" s="73"/>
      <c r="G323" s="73"/>
      <c r="H323" s="73"/>
      <c r="I323" s="73"/>
      <c r="J323" s="73"/>
      <c r="K323" s="73"/>
      <c r="L323" s="73"/>
      <c r="M323" s="73"/>
      <c r="N323" s="73"/>
      <c r="O323" s="73"/>
      <c r="P323" s="73"/>
      <c r="Q323" s="73"/>
      <c r="R323" s="73"/>
      <c r="S323" s="73"/>
      <c r="T323" s="73"/>
      <c r="U323" s="74"/>
    </row>
    <row r="324" spans="2:21" s="15" customFormat="1" x14ac:dyDescent="0.25">
      <c r="B324" s="72" t="s">
        <v>3070</v>
      </c>
      <c r="C324" s="73"/>
      <c r="D324" s="73"/>
      <c r="E324" s="73"/>
      <c r="F324" s="73"/>
      <c r="G324" s="73"/>
      <c r="H324" s="73"/>
      <c r="I324" s="73"/>
      <c r="J324" s="73"/>
      <c r="K324" s="73"/>
      <c r="L324" s="73"/>
      <c r="M324" s="73"/>
      <c r="N324" s="73"/>
      <c r="O324" s="73"/>
      <c r="P324" s="73"/>
      <c r="Q324" s="73"/>
      <c r="R324" s="73"/>
      <c r="S324" s="73"/>
      <c r="T324" s="73"/>
      <c r="U324" s="74"/>
    </row>
    <row r="325" spans="2:21" s="15" customFormat="1" x14ac:dyDescent="0.25">
      <c r="B325" s="72" t="s">
        <v>3071</v>
      </c>
      <c r="C325" s="73"/>
      <c r="D325" s="73"/>
      <c r="E325" s="73"/>
      <c r="F325" s="73"/>
      <c r="G325" s="73"/>
      <c r="H325" s="73"/>
      <c r="I325" s="73"/>
      <c r="J325" s="73"/>
      <c r="K325" s="73"/>
      <c r="L325" s="73"/>
      <c r="M325" s="73"/>
      <c r="N325" s="73"/>
      <c r="O325" s="73"/>
      <c r="P325" s="73"/>
      <c r="Q325" s="73"/>
      <c r="R325" s="73"/>
      <c r="S325" s="73"/>
      <c r="T325" s="73"/>
      <c r="U325" s="74"/>
    </row>
    <row r="326" spans="2:21" s="15" customFormat="1" x14ac:dyDescent="0.25">
      <c r="B326" s="72" t="s">
        <v>3072</v>
      </c>
      <c r="C326" s="73"/>
      <c r="D326" s="73"/>
      <c r="E326" s="73"/>
      <c r="F326" s="73"/>
      <c r="G326" s="73"/>
      <c r="H326" s="73"/>
      <c r="I326" s="73"/>
      <c r="J326" s="73"/>
      <c r="K326" s="73"/>
      <c r="L326" s="73"/>
      <c r="M326" s="73"/>
      <c r="N326" s="73"/>
      <c r="O326" s="73"/>
      <c r="P326" s="73"/>
      <c r="Q326" s="73"/>
      <c r="R326" s="73"/>
      <c r="S326" s="73"/>
      <c r="T326" s="73"/>
      <c r="U326" s="74"/>
    </row>
    <row r="327" spans="2:21" s="15" customFormat="1" x14ac:dyDescent="0.25">
      <c r="B327" s="72" t="s">
        <v>3227</v>
      </c>
      <c r="C327" s="73"/>
      <c r="D327" s="73"/>
      <c r="E327" s="73"/>
      <c r="F327" s="73"/>
      <c r="G327" s="73"/>
      <c r="H327" s="73"/>
      <c r="I327" s="73"/>
      <c r="J327" s="73"/>
      <c r="K327" s="73"/>
      <c r="L327" s="73"/>
      <c r="M327" s="73"/>
      <c r="N327" s="73"/>
      <c r="O327" s="73"/>
      <c r="P327" s="73"/>
      <c r="Q327" s="73"/>
      <c r="R327" s="73"/>
      <c r="S327" s="73"/>
      <c r="T327" s="73"/>
      <c r="U327" s="74"/>
    </row>
    <row r="328" spans="2:21" s="15" customFormat="1" x14ac:dyDescent="0.25">
      <c r="B328" s="72" t="s">
        <v>3332</v>
      </c>
      <c r="C328" s="73"/>
      <c r="D328" s="73"/>
      <c r="E328" s="73"/>
      <c r="F328" s="73"/>
      <c r="G328" s="73"/>
      <c r="H328" s="73"/>
      <c r="I328" s="73"/>
      <c r="J328" s="73"/>
      <c r="K328" s="73"/>
      <c r="L328" s="73"/>
      <c r="M328" s="73"/>
      <c r="N328" s="73"/>
      <c r="O328" s="73"/>
      <c r="P328" s="73"/>
      <c r="Q328" s="73"/>
      <c r="R328" s="73"/>
      <c r="S328" s="73"/>
      <c r="T328" s="73"/>
      <c r="U328" s="74"/>
    </row>
    <row r="329" spans="2:21" s="15" customFormat="1" x14ac:dyDescent="0.25">
      <c r="B329" s="72" t="s">
        <v>3075</v>
      </c>
      <c r="C329" s="73"/>
      <c r="D329" s="73"/>
      <c r="E329" s="73"/>
      <c r="F329" s="73"/>
      <c r="G329" s="73"/>
      <c r="H329" s="73"/>
      <c r="I329" s="73"/>
      <c r="J329" s="73"/>
      <c r="K329" s="73"/>
      <c r="L329" s="73"/>
      <c r="M329" s="73"/>
      <c r="N329" s="73"/>
      <c r="O329" s="73"/>
      <c r="P329" s="73"/>
      <c r="Q329" s="73"/>
      <c r="R329" s="73"/>
      <c r="S329" s="73"/>
      <c r="T329" s="73"/>
      <c r="U329" s="74"/>
    </row>
    <row r="330" spans="2:21" s="15" customFormat="1" x14ac:dyDescent="0.25">
      <c r="B330" s="72" t="s">
        <v>3333</v>
      </c>
      <c r="C330" s="73"/>
      <c r="D330" s="73"/>
      <c r="E330" s="73"/>
      <c r="F330" s="73"/>
      <c r="G330" s="73"/>
      <c r="H330" s="73"/>
      <c r="I330" s="73"/>
      <c r="J330" s="73"/>
      <c r="K330" s="73"/>
      <c r="L330" s="73"/>
      <c r="M330" s="73"/>
      <c r="N330" s="73"/>
      <c r="O330" s="73"/>
      <c r="P330" s="73"/>
      <c r="Q330" s="73"/>
      <c r="R330" s="73"/>
      <c r="S330" s="73"/>
      <c r="T330" s="73"/>
      <c r="U330" s="74"/>
    </row>
    <row r="331" spans="2:21" s="15" customFormat="1" x14ac:dyDescent="0.25">
      <c r="B331" s="72" t="s">
        <v>3077</v>
      </c>
      <c r="C331" s="73"/>
      <c r="D331" s="73"/>
      <c r="E331" s="73"/>
      <c r="F331" s="73"/>
      <c r="G331" s="73"/>
      <c r="H331" s="73"/>
      <c r="I331" s="73"/>
      <c r="J331" s="73"/>
      <c r="K331" s="73"/>
      <c r="L331" s="73"/>
      <c r="M331" s="73"/>
      <c r="N331" s="73"/>
      <c r="O331" s="73"/>
      <c r="P331" s="73"/>
      <c r="Q331" s="73"/>
      <c r="R331" s="73"/>
      <c r="S331" s="73"/>
      <c r="T331" s="73"/>
      <c r="U331" s="74"/>
    </row>
    <row r="332" spans="2:21" s="15" customFormat="1" x14ac:dyDescent="0.25">
      <c r="B332" s="72" t="s">
        <v>3228</v>
      </c>
      <c r="C332" s="73"/>
      <c r="D332" s="73"/>
      <c r="E332" s="73"/>
      <c r="F332" s="73"/>
      <c r="G332" s="73"/>
      <c r="H332" s="73"/>
      <c r="I332" s="73"/>
      <c r="J332" s="73"/>
      <c r="K332" s="73"/>
      <c r="L332" s="73"/>
      <c r="M332" s="73"/>
      <c r="N332" s="73"/>
      <c r="O332" s="73"/>
      <c r="P332" s="73"/>
      <c r="Q332" s="73"/>
      <c r="R332" s="73"/>
      <c r="S332" s="73"/>
      <c r="T332" s="73"/>
      <c r="U332" s="74"/>
    </row>
    <row r="333" spans="2:21" s="15" customFormat="1" x14ac:dyDescent="0.25">
      <c r="B333" s="72" t="s">
        <v>3079</v>
      </c>
      <c r="C333" s="73"/>
      <c r="D333" s="73"/>
      <c r="E333" s="73"/>
      <c r="F333" s="73"/>
      <c r="G333" s="73"/>
      <c r="H333" s="73"/>
      <c r="I333" s="73"/>
      <c r="J333" s="73"/>
      <c r="K333" s="73"/>
      <c r="L333" s="73"/>
      <c r="M333" s="73"/>
      <c r="N333" s="73"/>
      <c r="O333" s="73"/>
      <c r="P333" s="73"/>
      <c r="Q333" s="73"/>
      <c r="R333" s="73"/>
      <c r="S333" s="73"/>
      <c r="T333" s="73"/>
      <c r="U333" s="74"/>
    </row>
    <row r="334" spans="2:21" s="15" customFormat="1" x14ac:dyDescent="0.25">
      <c r="B334" s="72" t="s">
        <v>3080</v>
      </c>
      <c r="C334" s="73"/>
      <c r="D334" s="73"/>
      <c r="E334" s="73"/>
      <c r="F334" s="73"/>
      <c r="G334" s="73"/>
      <c r="H334" s="73"/>
      <c r="I334" s="73"/>
      <c r="J334" s="73"/>
      <c r="K334" s="73"/>
      <c r="L334" s="73"/>
      <c r="M334" s="73"/>
      <c r="N334" s="73"/>
      <c r="O334" s="73"/>
      <c r="P334" s="73"/>
      <c r="Q334" s="73"/>
      <c r="R334" s="73"/>
      <c r="S334" s="73"/>
      <c r="T334" s="73"/>
      <c r="U334" s="74"/>
    </row>
    <row r="335" spans="2:21" s="15" customFormat="1" x14ac:dyDescent="0.25">
      <c r="B335" s="72" t="s">
        <v>3081</v>
      </c>
      <c r="C335" s="73"/>
      <c r="D335" s="73"/>
      <c r="E335" s="73"/>
      <c r="F335" s="73"/>
      <c r="G335" s="73"/>
      <c r="H335" s="73"/>
      <c r="I335" s="73"/>
      <c r="J335" s="73"/>
      <c r="K335" s="73"/>
      <c r="L335" s="73"/>
      <c r="M335" s="73"/>
      <c r="N335" s="73"/>
      <c r="O335" s="73"/>
      <c r="P335" s="73"/>
      <c r="Q335" s="73"/>
      <c r="R335" s="73"/>
      <c r="S335" s="73"/>
      <c r="T335" s="73"/>
      <c r="U335" s="74"/>
    </row>
    <row r="336" spans="2:21" s="15" customFormat="1" x14ac:dyDescent="0.25">
      <c r="B336" s="72" t="s">
        <v>3082</v>
      </c>
      <c r="C336" s="73"/>
      <c r="D336" s="73"/>
      <c r="E336" s="73"/>
      <c r="F336" s="73"/>
      <c r="G336" s="73"/>
      <c r="H336" s="73"/>
      <c r="I336" s="73"/>
      <c r="J336" s="73"/>
      <c r="K336" s="73"/>
      <c r="L336" s="73"/>
      <c r="M336" s="73"/>
      <c r="N336" s="73"/>
      <c r="O336" s="73"/>
      <c r="P336" s="73"/>
      <c r="Q336" s="73"/>
      <c r="R336" s="73"/>
      <c r="S336" s="73"/>
      <c r="T336" s="73"/>
      <c r="U336" s="74"/>
    </row>
    <row r="337" spans="2:21" s="15" customFormat="1" x14ac:dyDescent="0.25">
      <c r="B337" s="72" t="s">
        <v>3083</v>
      </c>
      <c r="C337" s="73"/>
      <c r="D337" s="73"/>
      <c r="E337" s="73"/>
      <c r="F337" s="73"/>
      <c r="G337" s="73"/>
      <c r="H337" s="73"/>
      <c r="I337" s="73"/>
      <c r="J337" s="73"/>
      <c r="K337" s="73"/>
      <c r="L337" s="73"/>
      <c r="M337" s="73"/>
      <c r="N337" s="73"/>
      <c r="O337" s="73"/>
      <c r="P337" s="73"/>
      <c r="Q337" s="73"/>
      <c r="R337" s="73"/>
      <c r="S337" s="73"/>
      <c r="T337" s="73"/>
      <c r="U337" s="74"/>
    </row>
    <row r="338" spans="2:21" s="15" customFormat="1" x14ac:dyDescent="0.25">
      <c r="B338" s="72" t="s">
        <v>3058</v>
      </c>
      <c r="C338" s="73"/>
      <c r="D338" s="73"/>
      <c r="E338" s="73"/>
      <c r="F338" s="73"/>
      <c r="G338" s="73"/>
      <c r="H338" s="73"/>
      <c r="I338" s="73"/>
      <c r="J338" s="73"/>
      <c r="K338" s="73"/>
      <c r="L338" s="73"/>
      <c r="M338" s="73"/>
      <c r="N338" s="73"/>
      <c r="O338" s="73"/>
      <c r="P338" s="73"/>
      <c r="Q338" s="73"/>
      <c r="R338" s="73"/>
      <c r="S338" s="73"/>
      <c r="T338" s="73"/>
      <c r="U338" s="74"/>
    </row>
    <row r="339" spans="2:21" s="15" customFormat="1" x14ac:dyDescent="0.25">
      <c r="B339" s="72" t="s">
        <v>3084</v>
      </c>
      <c r="C339" s="73"/>
      <c r="D339" s="73"/>
      <c r="E339" s="73"/>
      <c r="F339" s="73"/>
      <c r="G339" s="73"/>
      <c r="H339" s="73"/>
      <c r="I339" s="73"/>
      <c r="J339" s="73"/>
      <c r="K339" s="73"/>
      <c r="L339" s="73"/>
      <c r="M339" s="73"/>
      <c r="N339" s="73"/>
      <c r="O339" s="73"/>
      <c r="P339" s="73"/>
      <c r="Q339" s="73"/>
      <c r="R339" s="73"/>
      <c r="S339" s="73"/>
      <c r="T339" s="73"/>
      <c r="U339" s="74"/>
    </row>
    <row r="340" spans="2:21" s="15" customFormat="1" x14ac:dyDescent="0.25">
      <c r="B340" s="72" t="s">
        <v>3085</v>
      </c>
      <c r="C340" s="73"/>
      <c r="D340" s="73"/>
      <c r="E340" s="73"/>
      <c r="F340" s="73"/>
      <c r="G340" s="73"/>
      <c r="H340" s="73"/>
      <c r="I340" s="73"/>
      <c r="J340" s="73"/>
      <c r="K340" s="73"/>
      <c r="L340" s="73"/>
      <c r="M340" s="73"/>
      <c r="N340" s="73"/>
      <c r="O340" s="73"/>
      <c r="P340" s="73"/>
      <c r="Q340" s="73"/>
      <c r="R340" s="73"/>
      <c r="S340" s="73"/>
      <c r="T340" s="73"/>
      <c r="U340" s="74"/>
    </row>
    <row r="341" spans="2:21" s="15" customFormat="1" x14ac:dyDescent="0.25">
      <c r="B341" s="72" t="s">
        <v>3334</v>
      </c>
      <c r="C341" s="73"/>
      <c r="D341" s="73"/>
      <c r="E341" s="73"/>
      <c r="F341" s="73"/>
      <c r="G341" s="73"/>
      <c r="H341" s="73"/>
      <c r="I341" s="73"/>
      <c r="J341" s="73"/>
      <c r="K341" s="73"/>
      <c r="L341" s="73"/>
      <c r="M341" s="73"/>
      <c r="N341" s="73"/>
      <c r="O341" s="73"/>
      <c r="P341" s="73"/>
      <c r="Q341" s="73"/>
      <c r="R341" s="73"/>
      <c r="S341" s="73"/>
      <c r="T341" s="73"/>
      <c r="U341" s="74"/>
    </row>
    <row r="342" spans="2:21" s="15" customFormat="1" x14ac:dyDescent="0.25">
      <c r="B342" s="72" t="s">
        <v>3335</v>
      </c>
      <c r="C342" s="73"/>
      <c r="D342" s="73"/>
      <c r="E342" s="73"/>
      <c r="F342" s="73"/>
      <c r="G342" s="73"/>
      <c r="H342" s="73"/>
      <c r="I342" s="73"/>
      <c r="J342" s="73"/>
      <c r="K342" s="73"/>
      <c r="L342" s="73"/>
      <c r="M342" s="73"/>
      <c r="N342" s="73"/>
      <c r="O342" s="73"/>
      <c r="P342" s="73"/>
      <c r="Q342" s="73"/>
      <c r="R342" s="73"/>
      <c r="S342" s="73"/>
      <c r="T342" s="73"/>
      <c r="U342" s="74"/>
    </row>
    <row r="343" spans="2:21" s="15" customFormat="1" x14ac:dyDescent="0.25">
      <c r="B343" s="72" t="s">
        <v>3181</v>
      </c>
      <c r="C343" s="73"/>
      <c r="D343" s="73"/>
      <c r="E343" s="73"/>
      <c r="F343" s="73"/>
      <c r="G343" s="73"/>
      <c r="H343" s="73"/>
      <c r="I343" s="73"/>
      <c r="J343" s="73"/>
      <c r="K343" s="73"/>
      <c r="L343" s="73"/>
      <c r="M343" s="73"/>
      <c r="N343" s="73"/>
      <c r="O343" s="73"/>
      <c r="P343" s="73"/>
      <c r="Q343" s="73"/>
      <c r="R343" s="73"/>
      <c r="S343" s="73"/>
      <c r="T343" s="73"/>
      <c r="U343" s="74"/>
    </row>
    <row r="344" spans="2:21" s="15" customFormat="1" x14ac:dyDescent="0.25">
      <c r="B344" s="72" t="s">
        <v>3085</v>
      </c>
      <c r="C344" s="73"/>
      <c r="D344" s="73"/>
      <c r="E344" s="73"/>
      <c r="F344" s="73"/>
      <c r="G344" s="73"/>
      <c r="H344" s="73"/>
      <c r="I344" s="73"/>
      <c r="J344" s="73"/>
      <c r="K344" s="73"/>
      <c r="L344" s="73"/>
      <c r="M344" s="73"/>
      <c r="N344" s="73"/>
      <c r="O344" s="73"/>
      <c r="P344" s="73"/>
      <c r="Q344" s="73"/>
      <c r="R344" s="73"/>
      <c r="S344" s="73"/>
      <c r="T344" s="73"/>
      <c r="U344" s="74"/>
    </row>
    <row r="345" spans="2:21" s="15" customFormat="1" x14ac:dyDescent="0.25">
      <c r="B345" s="72" t="s">
        <v>3086</v>
      </c>
      <c r="C345" s="73"/>
      <c r="D345" s="73"/>
      <c r="E345" s="73"/>
      <c r="F345" s="73"/>
      <c r="G345" s="73"/>
      <c r="H345" s="73"/>
      <c r="I345" s="73"/>
      <c r="J345" s="73"/>
      <c r="K345" s="73"/>
      <c r="L345" s="73"/>
      <c r="M345" s="73"/>
      <c r="N345" s="73"/>
      <c r="O345" s="73"/>
      <c r="P345" s="73"/>
      <c r="Q345" s="73"/>
      <c r="R345" s="73"/>
      <c r="S345" s="73"/>
      <c r="T345" s="73"/>
      <c r="U345" s="74"/>
    </row>
    <row r="346" spans="2:21" s="15" customFormat="1" x14ac:dyDescent="0.25">
      <c r="B346" s="72" t="s">
        <v>3336</v>
      </c>
      <c r="C346" s="73"/>
      <c r="D346" s="73"/>
      <c r="E346" s="73"/>
      <c r="F346" s="73"/>
      <c r="G346" s="73"/>
      <c r="H346" s="73"/>
      <c r="I346" s="73"/>
      <c r="J346" s="73"/>
      <c r="K346" s="73"/>
      <c r="L346" s="73"/>
      <c r="M346" s="73"/>
      <c r="N346" s="73"/>
      <c r="O346" s="73"/>
      <c r="P346" s="73"/>
      <c r="Q346" s="73"/>
      <c r="R346" s="73"/>
      <c r="S346" s="73"/>
      <c r="T346" s="73"/>
      <c r="U346" s="74"/>
    </row>
    <row r="347" spans="2:21" s="15" customFormat="1" x14ac:dyDescent="0.25">
      <c r="B347" s="72" t="s">
        <v>3337</v>
      </c>
      <c r="C347" s="73"/>
      <c r="D347" s="73"/>
      <c r="E347" s="73"/>
      <c r="F347" s="73"/>
      <c r="G347" s="73"/>
      <c r="H347" s="73"/>
      <c r="I347" s="73"/>
      <c r="J347" s="73"/>
      <c r="K347" s="73"/>
      <c r="L347" s="73"/>
      <c r="M347" s="73"/>
      <c r="N347" s="73"/>
      <c r="O347" s="73"/>
      <c r="P347" s="73"/>
      <c r="Q347" s="73"/>
      <c r="R347" s="73"/>
      <c r="S347" s="73"/>
      <c r="T347" s="73"/>
      <c r="U347" s="74"/>
    </row>
    <row r="348" spans="2:21" s="15" customFormat="1" x14ac:dyDescent="0.25">
      <c r="B348" s="72" t="s">
        <v>3232</v>
      </c>
      <c r="C348" s="73"/>
      <c r="D348" s="73"/>
      <c r="E348" s="73"/>
      <c r="F348" s="73"/>
      <c r="G348" s="73"/>
      <c r="H348" s="73"/>
      <c r="I348" s="73"/>
      <c r="J348" s="73"/>
      <c r="K348" s="73"/>
      <c r="L348" s="73"/>
      <c r="M348" s="73"/>
      <c r="N348" s="73"/>
      <c r="O348" s="73"/>
      <c r="P348" s="73"/>
      <c r="Q348" s="73"/>
      <c r="R348" s="73"/>
      <c r="S348" s="73"/>
      <c r="T348" s="73"/>
      <c r="U348" s="74"/>
    </row>
    <row r="349" spans="2:21" s="15" customFormat="1" x14ac:dyDescent="0.25">
      <c r="B349" s="72" t="s">
        <v>3338</v>
      </c>
      <c r="C349" s="73"/>
      <c r="D349" s="73"/>
      <c r="E349" s="73"/>
      <c r="F349" s="73"/>
      <c r="G349" s="73"/>
      <c r="H349" s="73"/>
      <c r="I349" s="73"/>
      <c r="J349" s="73"/>
      <c r="K349" s="73"/>
      <c r="L349" s="73"/>
      <c r="M349" s="73"/>
      <c r="N349" s="73"/>
      <c r="O349" s="73"/>
      <c r="P349" s="73"/>
      <c r="Q349" s="73"/>
      <c r="R349" s="73"/>
      <c r="S349" s="73"/>
      <c r="T349" s="73"/>
      <c r="U349" s="74"/>
    </row>
    <row r="350" spans="2:21" s="15" customFormat="1" x14ac:dyDescent="0.25">
      <c r="B350" s="72" t="s">
        <v>3339</v>
      </c>
      <c r="C350" s="73"/>
      <c r="D350" s="73"/>
      <c r="E350" s="73"/>
      <c r="F350" s="73"/>
      <c r="G350" s="73"/>
      <c r="H350" s="73"/>
      <c r="I350" s="73"/>
      <c r="J350" s="73"/>
      <c r="K350" s="73"/>
      <c r="L350" s="73"/>
      <c r="M350" s="73"/>
      <c r="N350" s="73"/>
      <c r="O350" s="73"/>
      <c r="P350" s="73"/>
      <c r="Q350" s="73"/>
      <c r="R350" s="73"/>
      <c r="S350" s="73"/>
      <c r="T350" s="73"/>
      <c r="U350" s="74"/>
    </row>
    <row r="351" spans="2:21" s="15" customFormat="1" x14ac:dyDescent="0.25">
      <c r="B351" s="72" t="s">
        <v>3083</v>
      </c>
      <c r="C351" s="73"/>
      <c r="D351" s="73"/>
      <c r="E351" s="73"/>
      <c r="F351" s="73"/>
      <c r="G351" s="73"/>
      <c r="H351" s="73"/>
      <c r="I351" s="73"/>
      <c r="J351" s="73"/>
      <c r="K351" s="73"/>
      <c r="L351" s="73"/>
      <c r="M351" s="73"/>
      <c r="N351" s="73"/>
      <c r="O351" s="73"/>
      <c r="P351" s="73"/>
      <c r="Q351" s="73"/>
      <c r="R351" s="73"/>
      <c r="S351" s="73"/>
      <c r="T351" s="73"/>
      <c r="U351" s="74"/>
    </row>
    <row r="352" spans="2:21" s="15" customFormat="1" x14ac:dyDescent="0.25">
      <c r="B352" s="72" t="s">
        <v>3093</v>
      </c>
      <c r="C352" s="73"/>
      <c r="D352" s="73"/>
      <c r="E352" s="73"/>
      <c r="F352" s="73"/>
      <c r="G352" s="73"/>
      <c r="H352" s="73"/>
      <c r="I352" s="73"/>
      <c r="J352" s="73"/>
      <c r="K352" s="73"/>
      <c r="L352" s="73"/>
      <c r="M352" s="73"/>
      <c r="N352" s="73"/>
      <c r="O352" s="73"/>
      <c r="P352" s="73"/>
      <c r="Q352" s="73"/>
      <c r="R352" s="73"/>
      <c r="S352" s="73"/>
      <c r="T352" s="73"/>
      <c r="U352" s="74"/>
    </row>
    <row r="353" spans="2:21" s="15" customFormat="1" x14ac:dyDescent="0.25">
      <c r="B353" s="72" t="s">
        <v>3094</v>
      </c>
      <c r="C353" s="73"/>
      <c r="D353" s="73"/>
      <c r="E353" s="73"/>
      <c r="F353" s="73"/>
      <c r="G353" s="73"/>
      <c r="H353" s="73"/>
      <c r="I353" s="73"/>
      <c r="J353" s="73"/>
      <c r="K353" s="73"/>
      <c r="L353" s="73"/>
      <c r="M353" s="73"/>
      <c r="N353" s="73"/>
      <c r="O353" s="73"/>
      <c r="P353" s="73"/>
      <c r="Q353" s="73"/>
      <c r="R353" s="73"/>
      <c r="S353" s="73"/>
      <c r="T353" s="73"/>
      <c r="U353" s="74"/>
    </row>
    <row r="354" spans="2:21" s="15" customFormat="1" x14ac:dyDescent="0.25">
      <c r="B354" s="72" t="s">
        <v>3095</v>
      </c>
      <c r="C354" s="73"/>
      <c r="D354" s="73"/>
      <c r="E354" s="73"/>
      <c r="F354" s="73"/>
      <c r="G354" s="73"/>
      <c r="H354" s="73"/>
      <c r="I354" s="73"/>
      <c r="J354" s="73"/>
      <c r="K354" s="73"/>
      <c r="L354" s="73"/>
      <c r="M354" s="73"/>
      <c r="N354" s="73"/>
      <c r="O354" s="73"/>
      <c r="P354" s="73"/>
      <c r="Q354" s="73"/>
      <c r="R354" s="73"/>
      <c r="S354" s="73"/>
      <c r="T354" s="73"/>
      <c r="U354" s="74"/>
    </row>
    <row r="355" spans="2:21" s="15" customFormat="1" x14ac:dyDescent="0.25">
      <c r="B355" s="72" t="s">
        <v>3096</v>
      </c>
      <c r="C355" s="73"/>
      <c r="D355" s="73"/>
      <c r="E355" s="73"/>
      <c r="F355" s="73"/>
      <c r="G355" s="73"/>
      <c r="H355" s="73"/>
      <c r="I355" s="73"/>
      <c r="J355" s="73"/>
      <c r="K355" s="73"/>
      <c r="L355" s="73"/>
      <c r="M355" s="73"/>
      <c r="N355" s="73"/>
      <c r="O355" s="73"/>
      <c r="P355" s="73"/>
      <c r="Q355" s="73"/>
      <c r="R355" s="73"/>
      <c r="S355" s="73"/>
      <c r="T355" s="73"/>
      <c r="U355" s="74"/>
    </row>
    <row r="356" spans="2:21" s="15" customFormat="1" x14ac:dyDescent="0.25">
      <c r="B356" s="72" t="s">
        <v>3097</v>
      </c>
      <c r="C356" s="73"/>
      <c r="D356" s="73"/>
      <c r="E356" s="73"/>
      <c r="F356" s="73"/>
      <c r="G356" s="73"/>
      <c r="H356" s="73"/>
      <c r="I356" s="73"/>
      <c r="J356" s="73"/>
      <c r="K356" s="73"/>
      <c r="L356" s="73"/>
      <c r="M356" s="73"/>
      <c r="N356" s="73"/>
      <c r="O356" s="73"/>
      <c r="P356" s="73"/>
      <c r="Q356" s="73"/>
      <c r="R356" s="73"/>
      <c r="S356" s="73"/>
      <c r="T356" s="73"/>
      <c r="U356" s="74"/>
    </row>
    <row r="357" spans="2:21" s="15" customFormat="1" x14ac:dyDescent="0.25">
      <c r="B357" s="72" t="s">
        <v>3340</v>
      </c>
      <c r="C357" s="73"/>
      <c r="D357" s="73"/>
      <c r="E357" s="73"/>
      <c r="F357" s="73"/>
      <c r="G357" s="73"/>
      <c r="H357" s="73"/>
      <c r="I357" s="73"/>
      <c r="J357" s="73"/>
      <c r="K357" s="73"/>
      <c r="L357" s="73"/>
      <c r="M357" s="73"/>
      <c r="N357" s="73"/>
      <c r="O357" s="73"/>
      <c r="P357" s="73"/>
      <c r="Q357" s="73"/>
      <c r="R357" s="73"/>
      <c r="S357" s="73"/>
      <c r="T357" s="73"/>
      <c r="U357" s="74"/>
    </row>
    <row r="358" spans="2:21" s="15" customFormat="1" x14ac:dyDescent="0.25">
      <c r="B358" s="72" t="s">
        <v>3099</v>
      </c>
      <c r="C358" s="73"/>
      <c r="D358" s="73"/>
      <c r="E358" s="73"/>
      <c r="F358" s="73"/>
      <c r="G358" s="73"/>
      <c r="H358" s="73"/>
      <c r="I358" s="73"/>
      <c r="J358" s="73"/>
      <c r="K358" s="73"/>
      <c r="L358" s="73"/>
      <c r="M358" s="73"/>
      <c r="N358" s="73"/>
      <c r="O358" s="73"/>
      <c r="P358" s="73"/>
      <c r="Q358" s="73"/>
      <c r="R358" s="73"/>
      <c r="S358" s="73"/>
      <c r="T358" s="73"/>
      <c r="U358" s="74"/>
    </row>
    <row r="359" spans="2:21" s="15" customFormat="1" x14ac:dyDescent="0.25">
      <c r="B359" s="72" t="s">
        <v>3100</v>
      </c>
      <c r="C359" s="73"/>
      <c r="D359" s="73"/>
      <c r="E359" s="73"/>
      <c r="F359" s="73"/>
      <c r="G359" s="73"/>
      <c r="H359" s="73"/>
      <c r="I359" s="73"/>
      <c r="J359" s="73"/>
      <c r="K359" s="73"/>
      <c r="L359" s="73"/>
      <c r="M359" s="73"/>
      <c r="N359" s="73"/>
      <c r="O359" s="73"/>
      <c r="P359" s="73"/>
      <c r="Q359" s="73"/>
      <c r="R359" s="73"/>
      <c r="S359" s="73"/>
      <c r="T359" s="73"/>
      <c r="U359" s="74"/>
    </row>
    <row r="360" spans="2:21" s="15" customFormat="1" x14ac:dyDescent="0.25">
      <c r="B360" s="72" t="s">
        <v>3101</v>
      </c>
      <c r="C360" s="73"/>
      <c r="D360" s="73"/>
      <c r="E360" s="73"/>
      <c r="F360" s="73"/>
      <c r="G360" s="73"/>
      <c r="H360" s="73"/>
      <c r="I360" s="73"/>
      <c r="J360" s="73"/>
      <c r="K360" s="73"/>
      <c r="L360" s="73"/>
      <c r="M360" s="73"/>
      <c r="N360" s="73"/>
      <c r="O360" s="73"/>
      <c r="P360" s="73"/>
      <c r="Q360" s="73"/>
      <c r="R360" s="73"/>
      <c r="S360" s="73"/>
      <c r="T360" s="73"/>
      <c r="U360" s="74"/>
    </row>
    <row r="361" spans="2:21" s="15" customFormat="1" x14ac:dyDescent="0.25">
      <c r="B361" s="72" t="s">
        <v>3341</v>
      </c>
      <c r="C361" s="73"/>
      <c r="D361" s="73"/>
      <c r="E361" s="73"/>
      <c r="F361" s="73"/>
      <c r="G361" s="73"/>
      <c r="H361" s="73"/>
      <c r="I361" s="73"/>
      <c r="J361" s="73"/>
      <c r="K361" s="73"/>
      <c r="L361" s="73"/>
      <c r="M361" s="73"/>
      <c r="N361" s="73"/>
      <c r="O361" s="73"/>
      <c r="P361" s="73"/>
      <c r="Q361" s="73"/>
      <c r="R361" s="73"/>
      <c r="S361" s="73"/>
      <c r="T361" s="73"/>
      <c r="U361" s="74"/>
    </row>
    <row r="362" spans="2:21" s="15" customFormat="1" x14ac:dyDescent="0.25">
      <c r="B362" s="72" t="s">
        <v>3342</v>
      </c>
      <c r="C362" s="73"/>
      <c r="D362" s="73"/>
      <c r="E362" s="73"/>
      <c r="F362" s="73"/>
      <c r="G362" s="73"/>
      <c r="H362" s="73"/>
      <c r="I362" s="73"/>
      <c r="J362" s="73"/>
      <c r="K362" s="73"/>
      <c r="L362" s="73"/>
      <c r="M362" s="73"/>
      <c r="N362" s="73"/>
      <c r="O362" s="73"/>
      <c r="P362" s="73"/>
      <c r="Q362" s="73"/>
      <c r="R362" s="73"/>
      <c r="S362" s="73"/>
      <c r="T362" s="73"/>
      <c r="U362" s="74"/>
    </row>
    <row r="363" spans="2:21" s="15" customFormat="1" x14ac:dyDescent="0.25">
      <c r="B363" s="72" t="s">
        <v>3105</v>
      </c>
      <c r="C363" s="73"/>
      <c r="D363" s="73"/>
      <c r="E363" s="73"/>
      <c r="F363" s="73"/>
      <c r="G363" s="73"/>
      <c r="H363" s="73"/>
      <c r="I363" s="73"/>
      <c r="J363" s="73"/>
      <c r="K363" s="73"/>
      <c r="L363" s="73"/>
      <c r="M363" s="73"/>
      <c r="N363" s="73"/>
      <c r="O363" s="73"/>
      <c r="P363" s="73"/>
      <c r="Q363" s="73"/>
      <c r="R363" s="73"/>
      <c r="S363" s="73"/>
      <c r="T363" s="73"/>
      <c r="U363" s="74"/>
    </row>
    <row r="364" spans="2:21" s="15" customFormat="1" x14ac:dyDescent="0.25">
      <c r="B364" s="72" t="s">
        <v>3106</v>
      </c>
      <c r="C364" s="73"/>
      <c r="D364" s="73"/>
      <c r="E364" s="73"/>
      <c r="F364" s="73"/>
      <c r="G364" s="73"/>
      <c r="H364" s="73"/>
      <c r="I364" s="73"/>
      <c r="J364" s="73"/>
      <c r="K364" s="73"/>
      <c r="L364" s="73"/>
      <c r="M364" s="73"/>
      <c r="N364" s="73"/>
      <c r="O364" s="73"/>
      <c r="P364" s="73"/>
      <c r="Q364" s="73"/>
      <c r="R364" s="73"/>
      <c r="S364" s="73"/>
      <c r="T364" s="73"/>
      <c r="U364" s="74"/>
    </row>
    <row r="365" spans="2:21" s="15" customFormat="1" x14ac:dyDescent="0.25">
      <c r="B365" s="72" t="s">
        <v>3236</v>
      </c>
      <c r="C365" s="73"/>
      <c r="D365" s="73"/>
      <c r="E365" s="73"/>
      <c r="F365" s="73"/>
      <c r="G365" s="73"/>
      <c r="H365" s="73"/>
      <c r="I365" s="73"/>
      <c r="J365" s="73"/>
      <c r="K365" s="73"/>
      <c r="L365" s="73"/>
      <c r="M365" s="73"/>
      <c r="N365" s="73"/>
      <c r="O365" s="73"/>
      <c r="P365" s="73"/>
      <c r="Q365" s="73"/>
      <c r="R365" s="73"/>
      <c r="S365" s="73"/>
      <c r="T365" s="73"/>
      <c r="U365" s="74"/>
    </row>
    <row r="366" spans="2:21" s="15" customFormat="1" x14ac:dyDescent="0.25">
      <c r="B366" s="72" t="s">
        <v>3343</v>
      </c>
      <c r="C366" s="73"/>
      <c r="D366" s="73"/>
      <c r="E366" s="73"/>
      <c r="F366" s="73"/>
      <c r="G366" s="73"/>
      <c r="H366" s="73"/>
      <c r="I366" s="73"/>
      <c r="J366" s="73"/>
      <c r="K366" s="73"/>
      <c r="L366" s="73"/>
      <c r="M366" s="73"/>
      <c r="N366" s="73"/>
      <c r="O366" s="73"/>
      <c r="P366" s="73"/>
      <c r="Q366" s="73"/>
      <c r="R366" s="73"/>
      <c r="S366" s="73"/>
      <c r="T366" s="73"/>
      <c r="U366" s="74"/>
    </row>
    <row r="367" spans="2:21" s="15" customFormat="1" x14ac:dyDescent="0.25">
      <c r="B367" s="72" t="s">
        <v>3344</v>
      </c>
      <c r="C367" s="73"/>
      <c r="D367" s="73"/>
      <c r="E367" s="73"/>
      <c r="F367" s="73"/>
      <c r="G367" s="73"/>
      <c r="H367" s="73"/>
      <c r="I367" s="73"/>
      <c r="J367" s="73"/>
      <c r="K367" s="73"/>
      <c r="L367" s="73"/>
      <c r="M367" s="73"/>
      <c r="N367" s="73"/>
      <c r="O367" s="73"/>
      <c r="P367" s="73"/>
      <c r="Q367" s="73"/>
      <c r="R367" s="73"/>
      <c r="S367" s="73"/>
      <c r="T367" s="73"/>
      <c r="U367" s="74"/>
    </row>
    <row r="368" spans="2:21" s="15" customFormat="1" x14ac:dyDescent="0.25">
      <c r="B368" s="72" t="s">
        <v>3345</v>
      </c>
      <c r="C368" s="73"/>
      <c r="D368" s="73"/>
      <c r="E368" s="73"/>
      <c r="F368" s="73"/>
      <c r="G368" s="73"/>
      <c r="H368" s="73"/>
      <c r="I368" s="73"/>
      <c r="J368" s="73"/>
      <c r="K368" s="73"/>
      <c r="L368" s="73"/>
      <c r="M368" s="73"/>
      <c r="N368" s="73"/>
      <c r="O368" s="73"/>
      <c r="P368" s="73"/>
      <c r="Q368" s="73"/>
      <c r="R368" s="73"/>
      <c r="S368" s="73"/>
      <c r="T368" s="73"/>
      <c r="U368" s="74"/>
    </row>
    <row r="369" spans="2:21" s="15" customFormat="1" x14ac:dyDescent="0.25">
      <c r="B369" s="72" t="s">
        <v>3346</v>
      </c>
      <c r="C369" s="73"/>
      <c r="D369" s="73"/>
      <c r="E369" s="73"/>
      <c r="F369" s="73"/>
      <c r="G369" s="73"/>
      <c r="H369" s="73"/>
      <c r="I369" s="73"/>
      <c r="J369" s="73"/>
      <c r="K369" s="73"/>
      <c r="L369" s="73"/>
      <c r="M369" s="73"/>
      <c r="N369" s="73"/>
      <c r="O369" s="73"/>
      <c r="P369" s="73"/>
      <c r="Q369" s="73"/>
      <c r="R369" s="73"/>
      <c r="S369" s="73"/>
      <c r="T369" s="73"/>
      <c r="U369" s="74"/>
    </row>
    <row r="370" spans="2:21" s="15" customFormat="1" x14ac:dyDescent="0.25">
      <c r="B370" s="72" t="s">
        <v>3347</v>
      </c>
      <c r="C370" s="73"/>
      <c r="D370" s="73"/>
      <c r="E370" s="73"/>
      <c r="F370" s="73"/>
      <c r="G370" s="73"/>
      <c r="H370" s="73"/>
      <c r="I370" s="73"/>
      <c r="J370" s="73"/>
      <c r="K370" s="73"/>
      <c r="L370" s="73"/>
      <c r="M370" s="73"/>
      <c r="N370" s="73"/>
      <c r="O370" s="73"/>
      <c r="P370" s="73"/>
      <c r="Q370" s="73"/>
      <c r="R370" s="73"/>
      <c r="S370" s="73"/>
      <c r="T370" s="73"/>
      <c r="U370" s="74"/>
    </row>
    <row r="371" spans="2:21" s="15" customFormat="1" x14ac:dyDescent="0.25">
      <c r="B371" s="72" t="s">
        <v>3348</v>
      </c>
      <c r="C371" s="73"/>
      <c r="D371" s="73"/>
      <c r="E371" s="73"/>
      <c r="F371" s="73"/>
      <c r="G371" s="73"/>
      <c r="H371" s="73"/>
      <c r="I371" s="73"/>
      <c r="J371" s="73"/>
      <c r="K371" s="73"/>
      <c r="L371" s="73"/>
      <c r="M371" s="73"/>
      <c r="N371" s="73"/>
      <c r="O371" s="73"/>
      <c r="P371" s="73"/>
      <c r="Q371" s="73"/>
      <c r="R371" s="73"/>
      <c r="S371" s="73"/>
      <c r="T371" s="73"/>
      <c r="U371" s="74"/>
    </row>
    <row r="372" spans="2:21" s="15" customFormat="1" x14ac:dyDescent="0.25">
      <c r="B372" s="72" t="s">
        <v>3349</v>
      </c>
      <c r="C372" s="73"/>
      <c r="D372" s="73"/>
      <c r="E372" s="73"/>
      <c r="F372" s="73"/>
      <c r="G372" s="73"/>
      <c r="H372" s="73"/>
      <c r="I372" s="73"/>
      <c r="J372" s="73"/>
      <c r="K372" s="73"/>
      <c r="L372" s="73"/>
      <c r="M372" s="73"/>
      <c r="N372" s="73"/>
      <c r="O372" s="73"/>
      <c r="P372" s="73"/>
      <c r="Q372" s="73"/>
      <c r="R372" s="73"/>
      <c r="S372" s="73"/>
      <c r="T372" s="73"/>
      <c r="U372" s="74"/>
    </row>
    <row r="373" spans="2:21" s="15" customFormat="1" x14ac:dyDescent="0.25">
      <c r="B373" s="72" t="s">
        <v>3350</v>
      </c>
      <c r="C373" s="73"/>
      <c r="D373" s="73"/>
      <c r="E373" s="73"/>
      <c r="F373" s="73"/>
      <c r="G373" s="73"/>
      <c r="H373" s="73"/>
      <c r="I373" s="73"/>
      <c r="J373" s="73"/>
      <c r="K373" s="73"/>
      <c r="L373" s="73"/>
      <c r="M373" s="73"/>
      <c r="N373" s="73"/>
      <c r="O373" s="73"/>
      <c r="P373" s="73"/>
      <c r="Q373" s="73"/>
      <c r="R373" s="73"/>
      <c r="S373" s="73"/>
      <c r="T373" s="73"/>
      <c r="U373" s="74"/>
    </row>
    <row r="374" spans="2:21" s="15" customFormat="1" x14ac:dyDescent="0.25">
      <c r="B374" s="72" t="s">
        <v>3351</v>
      </c>
      <c r="C374" s="73"/>
      <c r="D374" s="73"/>
      <c r="E374" s="73"/>
      <c r="F374" s="73"/>
      <c r="G374" s="73"/>
      <c r="H374" s="73"/>
      <c r="I374" s="73"/>
      <c r="J374" s="73"/>
      <c r="K374" s="73"/>
      <c r="L374" s="73"/>
      <c r="M374" s="73"/>
      <c r="N374" s="73"/>
      <c r="O374" s="73"/>
      <c r="P374" s="73"/>
      <c r="Q374" s="73"/>
      <c r="R374" s="73"/>
      <c r="S374" s="73"/>
      <c r="T374" s="73"/>
      <c r="U374" s="74"/>
    </row>
    <row r="375" spans="2:21" s="15" customFormat="1" x14ac:dyDescent="0.25">
      <c r="B375" s="72" t="s">
        <v>3352</v>
      </c>
      <c r="C375" s="73"/>
      <c r="D375" s="73"/>
      <c r="E375" s="73"/>
      <c r="F375" s="73"/>
      <c r="G375" s="73"/>
      <c r="H375" s="73"/>
      <c r="I375" s="73"/>
      <c r="J375" s="73"/>
      <c r="K375" s="73"/>
      <c r="L375" s="73"/>
      <c r="M375" s="73"/>
      <c r="N375" s="73"/>
      <c r="O375" s="73"/>
      <c r="P375" s="73"/>
      <c r="Q375" s="73"/>
      <c r="R375" s="73"/>
      <c r="S375" s="73"/>
      <c r="T375" s="73"/>
      <c r="U375" s="74"/>
    </row>
    <row r="376" spans="2:21" s="15" customFormat="1" x14ac:dyDescent="0.25">
      <c r="B376" s="72" t="s">
        <v>3353</v>
      </c>
      <c r="C376" s="73"/>
      <c r="D376" s="73"/>
      <c r="E376" s="73"/>
      <c r="F376" s="73"/>
      <c r="G376" s="73"/>
      <c r="H376" s="73"/>
      <c r="I376" s="73"/>
      <c r="J376" s="73"/>
      <c r="K376" s="73"/>
      <c r="L376" s="73"/>
      <c r="M376" s="73"/>
      <c r="N376" s="73"/>
      <c r="O376" s="73"/>
      <c r="P376" s="73"/>
      <c r="Q376" s="73"/>
      <c r="R376" s="73"/>
      <c r="S376" s="73"/>
      <c r="T376" s="73"/>
      <c r="U376" s="74"/>
    </row>
    <row r="377" spans="2:21" s="15" customFormat="1" x14ac:dyDescent="0.25">
      <c r="B377" s="72" t="s">
        <v>3058</v>
      </c>
      <c r="C377" s="73"/>
      <c r="D377" s="73"/>
      <c r="E377" s="73"/>
      <c r="F377" s="73"/>
      <c r="G377" s="73"/>
      <c r="H377" s="73"/>
      <c r="I377" s="73"/>
      <c r="J377" s="73"/>
      <c r="K377" s="73"/>
      <c r="L377" s="73"/>
      <c r="M377" s="73"/>
      <c r="N377" s="73"/>
      <c r="O377" s="73"/>
      <c r="P377" s="73"/>
      <c r="Q377" s="73"/>
      <c r="R377" s="73"/>
      <c r="S377" s="73"/>
      <c r="T377" s="73"/>
      <c r="U377" s="74"/>
    </row>
    <row r="378" spans="2:21" s="15" customFormat="1" x14ac:dyDescent="0.25">
      <c r="B378" s="72" t="s">
        <v>3122</v>
      </c>
      <c r="C378" s="73"/>
      <c r="D378" s="73"/>
      <c r="E378" s="73"/>
      <c r="F378" s="73"/>
      <c r="G378" s="73"/>
      <c r="H378" s="73"/>
      <c r="I378" s="73"/>
      <c r="J378" s="73"/>
      <c r="K378" s="73"/>
      <c r="L378" s="73"/>
      <c r="M378" s="73"/>
      <c r="N378" s="73"/>
      <c r="O378" s="73"/>
      <c r="P378" s="73"/>
      <c r="Q378" s="73"/>
      <c r="R378" s="73"/>
      <c r="S378" s="73"/>
      <c r="T378" s="73"/>
      <c r="U378" s="74"/>
    </row>
    <row r="379" spans="2:21" s="15" customFormat="1" x14ac:dyDescent="0.25">
      <c r="B379" s="72" t="s">
        <v>3123</v>
      </c>
      <c r="C379" s="73"/>
      <c r="D379" s="73"/>
      <c r="E379" s="73"/>
      <c r="F379" s="73"/>
      <c r="G379" s="73"/>
      <c r="H379" s="73"/>
      <c r="I379" s="73"/>
      <c r="J379" s="73"/>
      <c r="K379" s="73"/>
      <c r="L379" s="73"/>
      <c r="M379" s="73"/>
      <c r="N379" s="73"/>
      <c r="O379" s="73"/>
      <c r="P379" s="73"/>
      <c r="Q379" s="73"/>
      <c r="R379" s="73"/>
      <c r="S379" s="73"/>
      <c r="T379" s="73"/>
      <c r="U379" s="74"/>
    </row>
    <row r="380" spans="2:21" s="15" customFormat="1" x14ac:dyDescent="0.25">
      <c r="B380" s="72" t="s">
        <v>3124</v>
      </c>
      <c r="C380" s="73"/>
      <c r="D380" s="73"/>
      <c r="E380" s="73"/>
      <c r="F380" s="73"/>
      <c r="G380" s="73"/>
      <c r="H380" s="73"/>
      <c r="I380" s="73"/>
      <c r="J380" s="73"/>
      <c r="K380" s="73"/>
      <c r="L380" s="73"/>
      <c r="M380" s="73"/>
      <c r="N380" s="73"/>
      <c r="O380" s="73"/>
      <c r="P380" s="73"/>
      <c r="Q380" s="73"/>
      <c r="R380" s="73"/>
      <c r="S380" s="73"/>
      <c r="T380" s="73"/>
      <c r="U380" s="74"/>
    </row>
    <row r="381" spans="2:21" s="15" customFormat="1" x14ac:dyDescent="0.25">
      <c r="B381" s="72" t="s">
        <v>3125</v>
      </c>
      <c r="C381" s="73"/>
      <c r="D381" s="73"/>
      <c r="E381" s="73"/>
      <c r="F381" s="73"/>
      <c r="G381" s="73"/>
      <c r="H381" s="73"/>
      <c r="I381" s="73"/>
      <c r="J381" s="73"/>
      <c r="K381" s="73"/>
      <c r="L381" s="73"/>
      <c r="M381" s="73"/>
      <c r="N381" s="73"/>
      <c r="O381" s="73"/>
      <c r="P381" s="73"/>
      <c r="Q381" s="73"/>
      <c r="R381" s="73"/>
      <c r="S381" s="73"/>
      <c r="T381" s="73"/>
      <c r="U381" s="74"/>
    </row>
    <row r="382" spans="2:21" s="15" customFormat="1" x14ac:dyDescent="0.25">
      <c r="B382" s="72" t="s">
        <v>3126</v>
      </c>
      <c r="C382" s="73"/>
      <c r="D382" s="73"/>
      <c r="E382" s="73"/>
      <c r="F382" s="73"/>
      <c r="G382" s="73"/>
      <c r="H382" s="73"/>
      <c r="I382" s="73"/>
      <c r="J382" s="73"/>
      <c r="K382" s="73"/>
      <c r="L382" s="73"/>
      <c r="M382" s="73"/>
      <c r="N382" s="73"/>
      <c r="O382" s="73"/>
      <c r="P382" s="73"/>
      <c r="Q382" s="73"/>
      <c r="R382" s="73"/>
      <c r="S382" s="73"/>
      <c r="T382" s="73"/>
      <c r="U382" s="74"/>
    </row>
    <row r="383" spans="2:21" s="15" customFormat="1" x14ac:dyDescent="0.25">
      <c r="B383" s="72" t="s">
        <v>3127</v>
      </c>
      <c r="C383" s="73"/>
      <c r="D383" s="73"/>
      <c r="E383" s="73"/>
      <c r="F383" s="73"/>
      <c r="G383" s="73"/>
      <c r="H383" s="73"/>
      <c r="I383" s="73"/>
      <c r="J383" s="73"/>
      <c r="K383" s="73"/>
      <c r="L383" s="73"/>
      <c r="M383" s="73"/>
      <c r="N383" s="73"/>
      <c r="O383" s="73"/>
      <c r="P383" s="73"/>
      <c r="Q383" s="73"/>
      <c r="R383" s="73"/>
      <c r="S383" s="73"/>
      <c r="T383" s="73"/>
      <c r="U383" s="74"/>
    </row>
    <row r="384" spans="2:21" s="15" customFormat="1" x14ac:dyDescent="0.25">
      <c r="B384" s="72" t="s">
        <v>3354</v>
      </c>
      <c r="C384" s="73"/>
      <c r="D384" s="73"/>
      <c r="E384" s="73"/>
      <c r="F384" s="73"/>
      <c r="G384" s="73"/>
      <c r="H384" s="73"/>
      <c r="I384" s="73"/>
      <c r="J384" s="73"/>
      <c r="K384" s="73"/>
      <c r="L384" s="73"/>
      <c r="M384" s="73"/>
      <c r="N384" s="73"/>
      <c r="O384" s="73"/>
      <c r="P384" s="73"/>
      <c r="Q384" s="73"/>
      <c r="R384" s="73"/>
      <c r="S384" s="73"/>
      <c r="T384" s="73"/>
      <c r="U384" s="74"/>
    </row>
    <row r="385" spans="2:21" s="15" customFormat="1" x14ac:dyDescent="0.25">
      <c r="B385" s="72" t="s">
        <v>3355</v>
      </c>
      <c r="C385" s="73"/>
      <c r="D385" s="73"/>
      <c r="E385" s="73"/>
      <c r="F385" s="73"/>
      <c r="G385" s="73"/>
      <c r="H385" s="73"/>
      <c r="I385" s="73"/>
      <c r="J385" s="73"/>
      <c r="K385" s="73"/>
      <c r="L385" s="73"/>
      <c r="M385" s="73"/>
      <c r="N385" s="73"/>
      <c r="O385" s="73"/>
      <c r="P385" s="73"/>
      <c r="Q385" s="73"/>
      <c r="R385" s="73"/>
      <c r="S385" s="73"/>
      <c r="T385" s="73"/>
      <c r="U385" s="74"/>
    </row>
    <row r="386" spans="2:21" s="15" customFormat="1" x14ac:dyDescent="0.25">
      <c r="B386" s="72" t="s">
        <v>3356</v>
      </c>
      <c r="C386" s="73"/>
      <c r="D386" s="73"/>
      <c r="E386" s="73"/>
      <c r="F386" s="73"/>
      <c r="G386" s="73"/>
      <c r="H386" s="73"/>
      <c r="I386" s="73"/>
      <c r="J386" s="73"/>
      <c r="K386" s="73"/>
      <c r="L386" s="73"/>
      <c r="M386" s="73"/>
      <c r="N386" s="73"/>
      <c r="O386" s="73"/>
      <c r="P386" s="73"/>
      <c r="Q386" s="73"/>
      <c r="R386" s="73"/>
      <c r="S386" s="73"/>
      <c r="T386" s="73"/>
      <c r="U386" s="74"/>
    </row>
    <row r="387" spans="2:21" s="15" customFormat="1" x14ac:dyDescent="0.25">
      <c r="B387" s="72" t="s">
        <v>3262</v>
      </c>
      <c r="C387" s="73"/>
      <c r="D387" s="73"/>
      <c r="E387" s="73"/>
      <c r="F387" s="73"/>
      <c r="G387" s="73"/>
      <c r="H387" s="73"/>
      <c r="I387" s="73"/>
      <c r="J387" s="73"/>
      <c r="K387" s="73"/>
      <c r="L387" s="73"/>
      <c r="M387" s="73"/>
      <c r="N387" s="73"/>
      <c r="O387" s="73"/>
      <c r="P387" s="73"/>
      <c r="Q387" s="73"/>
      <c r="R387" s="73"/>
      <c r="S387" s="73"/>
      <c r="T387" s="73"/>
      <c r="U387" s="74"/>
    </row>
    <row r="388" spans="2:21" s="15" customFormat="1" x14ac:dyDescent="0.25">
      <c r="B388" s="72" t="s">
        <v>3134</v>
      </c>
      <c r="C388" s="73"/>
      <c r="D388" s="73"/>
      <c r="E388" s="73"/>
      <c r="F388" s="73"/>
      <c r="G388" s="73"/>
      <c r="H388" s="73"/>
      <c r="I388" s="73"/>
      <c r="J388" s="73"/>
      <c r="K388" s="73"/>
      <c r="L388" s="73"/>
      <c r="M388" s="73"/>
      <c r="N388" s="73"/>
      <c r="O388" s="73"/>
      <c r="P388" s="73"/>
      <c r="Q388" s="73"/>
      <c r="R388" s="73"/>
      <c r="S388" s="73"/>
      <c r="T388" s="73"/>
      <c r="U388" s="74"/>
    </row>
    <row r="389" spans="2:21" s="15" customFormat="1" x14ac:dyDescent="0.25">
      <c r="B389" s="72" t="s">
        <v>3263</v>
      </c>
      <c r="C389" s="73"/>
      <c r="D389" s="73"/>
      <c r="E389" s="73"/>
      <c r="F389" s="73"/>
      <c r="G389" s="73"/>
      <c r="H389" s="73"/>
      <c r="I389" s="73"/>
      <c r="J389" s="73"/>
      <c r="K389" s="73"/>
      <c r="L389" s="73"/>
      <c r="M389" s="73"/>
      <c r="N389" s="73"/>
      <c r="O389" s="73"/>
      <c r="P389" s="73"/>
      <c r="Q389" s="73"/>
      <c r="R389" s="73"/>
      <c r="S389" s="73"/>
      <c r="T389" s="73"/>
      <c r="U389" s="74"/>
    </row>
    <row r="390" spans="2:21" s="15" customFormat="1" x14ac:dyDescent="0.25">
      <c r="B390" s="72" t="s">
        <v>3136</v>
      </c>
      <c r="C390" s="73"/>
      <c r="D390" s="73"/>
      <c r="E390" s="73"/>
      <c r="F390" s="73"/>
      <c r="G390" s="73"/>
      <c r="H390" s="73"/>
      <c r="I390" s="73"/>
      <c r="J390" s="73"/>
      <c r="K390" s="73"/>
      <c r="L390" s="73"/>
      <c r="M390" s="73"/>
      <c r="N390" s="73"/>
      <c r="O390" s="73"/>
      <c r="P390" s="73"/>
      <c r="Q390" s="73"/>
      <c r="R390" s="73"/>
      <c r="S390" s="73"/>
      <c r="T390" s="73"/>
      <c r="U390" s="74"/>
    </row>
    <row r="391" spans="2:21" s="15" customFormat="1" x14ac:dyDescent="0.25">
      <c r="B391" s="72" t="s">
        <v>3253</v>
      </c>
      <c r="C391" s="73"/>
      <c r="D391" s="73"/>
      <c r="E391" s="73"/>
      <c r="F391" s="73"/>
      <c r="G391" s="73"/>
      <c r="H391" s="73"/>
      <c r="I391" s="73"/>
      <c r="J391" s="73"/>
      <c r="K391" s="73"/>
      <c r="L391" s="73"/>
      <c r="M391" s="73"/>
      <c r="N391" s="73"/>
      <c r="O391" s="73"/>
      <c r="P391" s="73"/>
      <c r="Q391" s="73"/>
      <c r="R391" s="73"/>
      <c r="S391" s="73"/>
      <c r="T391" s="73"/>
      <c r="U391" s="74"/>
    </row>
    <row r="392" spans="2:21" s="15" customFormat="1" x14ac:dyDescent="0.25">
      <c r="B392" s="72" t="s">
        <v>3357</v>
      </c>
      <c r="C392" s="73"/>
      <c r="D392" s="73"/>
      <c r="E392" s="73"/>
      <c r="F392" s="73"/>
      <c r="G392" s="73"/>
      <c r="H392" s="73"/>
      <c r="I392" s="73"/>
      <c r="J392" s="73"/>
      <c r="K392" s="73"/>
      <c r="L392" s="73"/>
      <c r="M392" s="73"/>
      <c r="N392" s="73"/>
      <c r="O392" s="73"/>
      <c r="P392" s="73"/>
      <c r="Q392" s="73"/>
      <c r="R392" s="73"/>
      <c r="S392" s="73"/>
      <c r="T392" s="73"/>
      <c r="U392" s="74"/>
    </row>
    <row r="393" spans="2:21" s="15" customFormat="1" x14ac:dyDescent="0.25">
      <c r="B393" s="72" t="s">
        <v>3139</v>
      </c>
      <c r="C393" s="73"/>
      <c r="D393" s="73"/>
      <c r="E393" s="73"/>
      <c r="F393" s="73"/>
      <c r="G393" s="73"/>
      <c r="H393" s="73"/>
      <c r="I393" s="73"/>
      <c r="J393" s="73"/>
      <c r="K393" s="73"/>
      <c r="L393" s="73"/>
      <c r="M393" s="73"/>
      <c r="N393" s="73"/>
      <c r="O393" s="73"/>
      <c r="P393" s="73"/>
      <c r="Q393" s="73"/>
      <c r="R393" s="73"/>
      <c r="S393" s="73"/>
      <c r="T393" s="73"/>
      <c r="U393" s="74"/>
    </row>
    <row r="394" spans="2:21" s="15" customFormat="1" x14ac:dyDescent="0.25">
      <c r="B394" s="72" t="s">
        <v>3254</v>
      </c>
      <c r="C394" s="73"/>
      <c r="D394" s="73"/>
      <c r="E394" s="73"/>
      <c r="F394" s="73"/>
      <c r="G394" s="73"/>
      <c r="H394" s="73"/>
      <c r="I394" s="73"/>
      <c r="J394" s="73"/>
      <c r="K394" s="73"/>
      <c r="L394" s="73"/>
      <c r="M394" s="73"/>
      <c r="N394" s="73"/>
      <c r="O394" s="73"/>
      <c r="P394" s="73"/>
      <c r="Q394" s="73"/>
      <c r="R394" s="73"/>
      <c r="S394" s="73"/>
      <c r="T394" s="73"/>
      <c r="U394" s="74"/>
    </row>
    <row r="395" spans="2:21" s="15" customFormat="1" x14ac:dyDescent="0.25">
      <c r="B395" s="72" t="s">
        <v>3358</v>
      </c>
      <c r="C395" s="73"/>
      <c r="D395" s="73"/>
      <c r="E395" s="73"/>
      <c r="F395" s="73"/>
      <c r="G395" s="73"/>
      <c r="H395" s="73"/>
      <c r="I395" s="73"/>
      <c r="J395" s="73"/>
      <c r="K395" s="73"/>
      <c r="L395" s="73"/>
      <c r="M395" s="73"/>
      <c r="N395" s="73"/>
      <c r="O395" s="73"/>
      <c r="P395" s="73"/>
      <c r="Q395" s="73"/>
      <c r="R395" s="73"/>
      <c r="S395" s="73"/>
      <c r="T395" s="73"/>
      <c r="U395" s="74"/>
    </row>
    <row r="396" spans="2:21" s="15" customFormat="1" x14ac:dyDescent="0.25">
      <c r="B396" s="72" t="s">
        <v>3359</v>
      </c>
      <c r="C396" s="73"/>
      <c r="D396" s="73"/>
      <c r="E396" s="73"/>
      <c r="F396" s="73"/>
      <c r="G396" s="73"/>
      <c r="H396" s="73"/>
      <c r="I396" s="73"/>
      <c r="J396" s="73"/>
      <c r="K396" s="73"/>
      <c r="L396" s="73"/>
      <c r="M396" s="73"/>
      <c r="N396" s="73"/>
      <c r="O396" s="73"/>
      <c r="P396" s="73"/>
      <c r="Q396" s="73"/>
      <c r="R396" s="73"/>
      <c r="S396" s="73"/>
      <c r="T396" s="73"/>
      <c r="U396" s="74"/>
    </row>
    <row r="397" spans="2:21" s="15" customFormat="1" x14ac:dyDescent="0.25">
      <c r="B397" s="72" t="s">
        <v>3146</v>
      </c>
      <c r="C397" s="73"/>
      <c r="D397" s="73"/>
      <c r="E397" s="73"/>
      <c r="F397" s="73"/>
      <c r="G397" s="73"/>
      <c r="H397" s="73"/>
      <c r="I397" s="73"/>
      <c r="J397" s="73"/>
      <c r="K397" s="73"/>
      <c r="L397" s="73"/>
      <c r="M397" s="73"/>
      <c r="N397" s="73"/>
      <c r="O397" s="73"/>
      <c r="P397" s="73"/>
      <c r="Q397" s="73"/>
      <c r="R397" s="73"/>
      <c r="S397" s="73"/>
      <c r="T397" s="73"/>
      <c r="U397" s="74"/>
    </row>
    <row r="398" spans="2:21" s="15" customFormat="1" x14ac:dyDescent="0.25">
      <c r="B398" s="72" t="s">
        <v>3125</v>
      </c>
      <c r="C398" s="73"/>
      <c r="D398" s="73"/>
      <c r="E398" s="73"/>
      <c r="F398" s="73"/>
      <c r="G398" s="73"/>
      <c r="H398" s="73"/>
      <c r="I398" s="73"/>
      <c r="J398" s="73"/>
      <c r="K398" s="73"/>
      <c r="L398" s="73"/>
      <c r="M398" s="73"/>
      <c r="N398" s="73"/>
      <c r="O398" s="73"/>
      <c r="P398" s="73"/>
      <c r="Q398" s="73"/>
      <c r="R398" s="73"/>
      <c r="S398" s="73"/>
      <c r="T398" s="73"/>
      <c r="U398" s="74"/>
    </row>
    <row r="399" spans="2:21" s="15" customFormat="1" x14ac:dyDescent="0.25">
      <c r="B399" s="72" t="s">
        <v>3257</v>
      </c>
      <c r="C399" s="73"/>
      <c r="D399" s="73"/>
      <c r="E399" s="73"/>
      <c r="F399" s="73"/>
      <c r="G399" s="73"/>
      <c r="H399" s="73"/>
      <c r="I399" s="73"/>
      <c r="J399" s="73"/>
      <c r="K399" s="73"/>
      <c r="L399" s="73"/>
      <c r="M399" s="73"/>
      <c r="N399" s="73"/>
      <c r="O399" s="73"/>
      <c r="P399" s="73"/>
      <c r="Q399" s="73"/>
      <c r="R399" s="73"/>
      <c r="S399" s="73"/>
      <c r="T399" s="73"/>
      <c r="U399" s="74"/>
    </row>
    <row r="400" spans="2:21" s="15" customFormat="1" x14ac:dyDescent="0.25">
      <c r="B400" s="72" t="s">
        <v>3258</v>
      </c>
      <c r="C400" s="73"/>
      <c r="D400" s="73"/>
      <c r="E400" s="73"/>
      <c r="F400" s="73"/>
      <c r="G400" s="73"/>
      <c r="H400" s="73"/>
      <c r="I400" s="73"/>
      <c r="J400" s="73"/>
      <c r="K400" s="73"/>
      <c r="L400" s="73"/>
      <c r="M400" s="73"/>
      <c r="N400" s="73"/>
      <c r="O400" s="73"/>
      <c r="P400" s="73"/>
      <c r="Q400" s="73"/>
      <c r="R400" s="73"/>
      <c r="S400" s="73"/>
      <c r="T400" s="73"/>
      <c r="U400" s="74"/>
    </row>
    <row r="401" spans="2:21" s="15" customFormat="1" x14ac:dyDescent="0.25">
      <c r="B401" s="72" t="s">
        <v>3127</v>
      </c>
      <c r="C401" s="73"/>
      <c r="D401" s="73"/>
      <c r="E401" s="73"/>
      <c r="F401" s="73"/>
      <c r="G401" s="73"/>
      <c r="H401" s="73"/>
      <c r="I401" s="73"/>
      <c r="J401" s="73"/>
      <c r="K401" s="73"/>
      <c r="L401" s="73"/>
      <c r="M401" s="73"/>
      <c r="N401" s="73"/>
      <c r="O401" s="73"/>
      <c r="P401" s="73"/>
      <c r="Q401" s="73"/>
      <c r="R401" s="73"/>
      <c r="S401" s="73"/>
      <c r="T401" s="73"/>
      <c r="U401" s="74"/>
    </row>
    <row r="402" spans="2:21" s="15" customFormat="1" x14ac:dyDescent="0.25">
      <c r="B402" s="72" t="s">
        <v>3360</v>
      </c>
      <c r="C402" s="73"/>
      <c r="D402" s="73"/>
      <c r="E402" s="73"/>
      <c r="F402" s="73"/>
      <c r="G402" s="73"/>
      <c r="H402" s="73"/>
      <c r="I402" s="73"/>
      <c r="J402" s="73"/>
      <c r="K402" s="73"/>
      <c r="L402" s="73"/>
      <c r="M402" s="73"/>
      <c r="N402" s="73"/>
      <c r="O402" s="73"/>
      <c r="P402" s="73"/>
      <c r="Q402" s="73"/>
      <c r="R402" s="73"/>
      <c r="S402" s="73"/>
      <c r="T402" s="73"/>
      <c r="U402" s="74"/>
    </row>
    <row r="403" spans="2:21" s="15" customFormat="1" x14ac:dyDescent="0.25">
      <c r="B403" s="72" t="s">
        <v>3361</v>
      </c>
      <c r="C403" s="73"/>
      <c r="D403" s="73"/>
      <c r="E403" s="73"/>
      <c r="F403" s="73"/>
      <c r="G403" s="73"/>
      <c r="H403" s="73"/>
      <c r="I403" s="73"/>
      <c r="J403" s="73"/>
      <c r="K403" s="73"/>
      <c r="L403" s="73"/>
      <c r="M403" s="73"/>
      <c r="N403" s="73"/>
      <c r="O403" s="73"/>
      <c r="P403" s="73"/>
      <c r="Q403" s="73"/>
      <c r="R403" s="73"/>
      <c r="S403" s="73"/>
      <c r="T403" s="73"/>
      <c r="U403" s="74"/>
    </row>
    <row r="404" spans="2:21" s="15" customFormat="1" x14ac:dyDescent="0.25">
      <c r="B404" s="72" t="s">
        <v>3362</v>
      </c>
      <c r="C404" s="73"/>
      <c r="D404" s="73"/>
      <c r="E404" s="73"/>
      <c r="F404" s="73"/>
      <c r="G404" s="73"/>
      <c r="H404" s="73"/>
      <c r="I404" s="73"/>
      <c r="J404" s="73"/>
      <c r="K404" s="73"/>
      <c r="L404" s="73"/>
      <c r="M404" s="73"/>
      <c r="N404" s="73"/>
      <c r="O404" s="73"/>
      <c r="P404" s="73"/>
      <c r="Q404" s="73"/>
      <c r="R404" s="73"/>
      <c r="S404" s="73"/>
      <c r="T404" s="73"/>
      <c r="U404" s="74"/>
    </row>
    <row r="405" spans="2:21" s="15" customFormat="1" x14ac:dyDescent="0.25">
      <c r="B405" s="72" t="s">
        <v>3262</v>
      </c>
      <c r="C405" s="73"/>
      <c r="D405" s="73"/>
      <c r="E405" s="73"/>
      <c r="F405" s="73"/>
      <c r="G405" s="73"/>
      <c r="H405" s="73"/>
      <c r="I405" s="73"/>
      <c r="J405" s="73"/>
      <c r="K405" s="73"/>
      <c r="L405" s="73"/>
      <c r="M405" s="73"/>
      <c r="N405" s="73"/>
      <c r="O405" s="73"/>
      <c r="P405" s="73"/>
      <c r="Q405" s="73"/>
      <c r="R405" s="73"/>
      <c r="S405" s="73"/>
      <c r="T405" s="73"/>
      <c r="U405" s="74"/>
    </row>
    <row r="406" spans="2:21" s="15" customFormat="1" x14ac:dyDescent="0.25">
      <c r="B406" s="72" t="s">
        <v>3134</v>
      </c>
      <c r="C406" s="73"/>
      <c r="D406" s="73"/>
      <c r="E406" s="73"/>
      <c r="F406" s="73"/>
      <c r="G406" s="73"/>
      <c r="H406" s="73"/>
      <c r="I406" s="73"/>
      <c r="J406" s="73"/>
      <c r="K406" s="73"/>
      <c r="L406" s="73"/>
      <c r="M406" s="73"/>
      <c r="N406" s="73"/>
      <c r="O406" s="73"/>
      <c r="P406" s="73"/>
      <c r="Q406" s="73"/>
      <c r="R406" s="73"/>
      <c r="S406" s="73"/>
      <c r="T406" s="73"/>
      <c r="U406" s="74"/>
    </row>
    <row r="407" spans="2:21" s="15" customFormat="1" x14ac:dyDescent="0.25">
      <c r="B407" s="72" t="s">
        <v>3263</v>
      </c>
      <c r="C407" s="73"/>
      <c r="D407" s="73"/>
      <c r="E407" s="73"/>
      <c r="F407" s="73"/>
      <c r="G407" s="73"/>
      <c r="H407" s="73"/>
      <c r="I407" s="73"/>
      <c r="J407" s="73"/>
      <c r="K407" s="73"/>
      <c r="L407" s="73"/>
      <c r="M407" s="73"/>
      <c r="N407" s="73"/>
      <c r="O407" s="73"/>
      <c r="P407" s="73"/>
      <c r="Q407" s="73"/>
      <c r="R407" s="73"/>
      <c r="S407" s="73"/>
      <c r="T407" s="73"/>
      <c r="U407" s="74"/>
    </row>
    <row r="408" spans="2:21" s="15" customFormat="1" x14ac:dyDescent="0.25">
      <c r="B408" s="72" t="s">
        <v>3136</v>
      </c>
      <c r="C408" s="73"/>
      <c r="D408" s="73"/>
      <c r="E408" s="73"/>
      <c r="F408" s="73"/>
      <c r="G408" s="73"/>
      <c r="H408" s="73"/>
      <c r="I408" s="73"/>
      <c r="J408" s="73"/>
      <c r="K408" s="73"/>
      <c r="L408" s="73"/>
      <c r="M408" s="73"/>
      <c r="N408" s="73"/>
      <c r="O408" s="73"/>
      <c r="P408" s="73"/>
      <c r="Q408" s="73"/>
      <c r="R408" s="73"/>
      <c r="S408" s="73"/>
      <c r="T408" s="73"/>
      <c r="U408" s="74"/>
    </row>
    <row r="409" spans="2:21" s="15" customFormat="1" x14ac:dyDescent="0.25">
      <c r="B409" s="72" t="s">
        <v>3253</v>
      </c>
      <c r="C409" s="73"/>
      <c r="D409" s="73"/>
      <c r="E409" s="73"/>
      <c r="F409" s="73"/>
      <c r="G409" s="73"/>
      <c r="H409" s="73"/>
      <c r="I409" s="73"/>
      <c r="J409" s="73"/>
      <c r="K409" s="73"/>
      <c r="L409" s="73"/>
      <c r="M409" s="73"/>
      <c r="N409" s="73"/>
      <c r="O409" s="73"/>
      <c r="P409" s="73"/>
      <c r="Q409" s="73"/>
      <c r="R409" s="73"/>
      <c r="S409" s="73"/>
      <c r="T409" s="73"/>
      <c r="U409" s="74"/>
    </row>
    <row r="410" spans="2:21" s="15" customFormat="1" x14ac:dyDescent="0.25">
      <c r="B410" s="72" t="s">
        <v>3357</v>
      </c>
      <c r="C410" s="73"/>
      <c r="D410" s="73"/>
      <c r="E410" s="73"/>
      <c r="F410" s="73"/>
      <c r="G410" s="73"/>
      <c r="H410" s="73"/>
      <c r="I410" s="73"/>
      <c r="J410" s="73"/>
      <c r="K410" s="73"/>
      <c r="L410" s="73"/>
      <c r="M410" s="73"/>
      <c r="N410" s="73"/>
      <c r="O410" s="73"/>
      <c r="P410" s="73"/>
      <c r="Q410" s="73"/>
      <c r="R410" s="73"/>
      <c r="S410" s="73"/>
      <c r="T410" s="73"/>
      <c r="U410" s="74"/>
    </row>
    <row r="411" spans="2:21" s="15" customFormat="1" x14ac:dyDescent="0.25">
      <c r="B411" s="72" t="s">
        <v>3139</v>
      </c>
      <c r="C411" s="73"/>
      <c r="D411" s="73"/>
      <c r="E411" s="73"/>
      <c r="F411" s="73"/>
      <c r="G411" s="73"/>
      <c r="H411" s="73"/>
      <c r="I411" s="73"/>
      <c r="J411" s="73"/>
      <c r="K411" s="73"/>
      <c r="L411" s="73"/>
      <c r="M411" s="73"/>
      <c r="N411" s="73"/>
      <c r="O411" s="73"/>
      <c r="P411" s="73"/>
      <c r="Q411" s="73"/>
      <c r="R411" s="73"/>
      <c r="S411" s="73"/>
      <c r="T411" s="73"/>
      <c r="U411" s="74"/>
    </row>
    <row r="412" spans="2:21" s="15" customFormat="1" x14ac:dyDescent="0.25">
      <c r="B412" s="72" t="s">
        <v>3254</v>
      </c>
      <c r="C412" s="73"/>
      <c r="D412" s="73"/>
      <c r="E412" s="73"/>
      <c r="F412" s="73"/>
      <c r="G412" s="73"/>
      <c r="H412" s="73"/>
      <c r="I412" s="73"/>
      <c r="J412" s="73"/>
      <c r="K412" s="73"/>
      <c r="L412" s="73"/>
      <c r="M412" s="73"/>
      <c r="N412" s="73"/>
      <c r="O412" s="73"/>
      <c r="P412" s="73"/>
      <c r="Q412" s="73"/>
      <c r="R412" s="73"/>
      <c r="S412" s="73"/>
      <c r="T412" s="73"/>
      <c r="U412" s="74"/>
    </row>
    <row r="413" spans="2:21" s="15" customFormat="1" x14ac:dyDescent="0.25">
      <c r="B413" s="72" t="s">
        <v>3358</v>
      </c>
      <c r="C413" s="73"/>
      <c r="D413" s="73"/>
      <c r="E413" s="73"/>
      <c r="F413" s="73"/>
      <c r="G413" s="73"/>
      <c r="H413" s="73"/>
      <c r="I413" s="73"/>
      <c r="J413" s="73"/>
      <c r="K413" s="73"/>
      <c r="L413" s="73"/>
      <c r="M413" s="73"/>
      <c r="N413" s="73"/>
      <c r="O413" s="73"/>
      <c r="P413" s="73"/>
      <c r="Q413" s="73"/>
      <c r="R413" s="73"/>
      <c r="S413" s="73"/>
      <c r="T413" s="73"/>
      <c r="U413" s="74"/>
    </row>
    <row r="414" spans="2:21" s="15" customFormat="1" x14ac:dyDescent="0.25">
      <c r="B414" s="72" t="s">
        <v>3256</v>
      </c>
      <c r="C414" s="73"/>
      <c r="D414" s="73"/>
      <c r="E414" s="73"/>
      <c r="F414" s="73"/>
      <c r="G414" s="73"/>
      <c r="H414" s="73"/>
      <c r="I414" s="73"/>
      <c r="J414" s="73"/>
      <c r="K414" s="73"/>
      <c r="L414" s="73"/>
      <c r="M414" s="73"/>
      <c r="N414" s="73"/>
      <c r="O414" s="73"/>
      <c r="P414" s="73"/>
      <c r="Q414" s="73"/>
      <c r="R414" s="73"/>
      <c r="S414" s="73"/>
      <c r="T414" s="73"/>
      <c r="U414" s="74"/>
    </row>
    <row r="415" spans="2:21" s="15" customFormat="1" x14ac:dyDescent="0.25">
      <c r="B415" s="72" t="s">
        <v>3146</v>
      </c>
      <c r="C415" s="73"/>
      <c r="D415" s="73"/>
      <c r="E415" s="73"/>
      <c r="F415" s="73"/>
      <c r="G415" s="73"/>
      <c r="H415" s="73"/>
      <c r="I415" s="73"/>
      <c r="J415" s="73"/>
      <c r="K415" s="73"/>
      <c r="L415" s="73"/>
      <c r="M415" s="73"/>
      <c r="N415" s="73"/>
      <c r="O415" s="73"/>
      <c r="P415" s="73"/>
      <c r="Q415" s="73"/>
      <c r="R415" s="73"/>
      <c r="S415" s="73"/>
      <c r="T415" s="73"/>
      <c r="U415" s="74"/>
    </row>
    <row r="416" spans="2:21" s="15" customFormat="1" x14ac:dyDescent="0.25">
      <c r="B416" s="72" t="s">
        <v>3125</v>
      </c>
      <c r="C416" s="73"/>
      <c r="D416" s="73"/>
      <c r="E416" s="73"/>
      <c r="F416" s="73"/>
      <c r="G416" s="73"/>
      <c r="H416" s="73"/>
      <c r="I416" s="73"/>
      <c r="J416" s="73"/>
      <c r="K416" s="73"/>
      <c r="L416" s="73"/>
      <c r="M416" s="73"/>
      <c r="N416" s="73"/>
      <c r="O416" s="73"/>
      <c r="P416" s="73"/>
      <c r="Q416" s="73"/>
      <c r="R416" s="73"/>
      <c r="S416" s="73"/>
      <c r="T416" s="73"/>
      <c r="U416" s="74"/>
    </row>
    <row r="417" spans="2:21" s="15" customFormat="1" x14ac:dyDescent="0.25">
      <c r="B417" s="72" t="s">
        <v>3257</v>
      </c>
      <c r="C417" s="73"/>
      <c r="D417" s="73"/>
      <c r="E417" s="73"/>
      <c r="F417" s="73"/>
      <c r="G417" s="73"/>
      <c r="H417" s="73"/>
      <c r="I417" s="73"/>
      <c r="J417" s="73"/>
      <c r="K417" s="73"/>
      <c r="L417" s="73"/>
      <c r="M417" s="73"/>
      <c r="N417" s="73"/>
      <c r="O417" s="73"/>
      <c r="P417" s="73"/>
      <c r="Q417" s="73"/>
      <c r="R417" s="73"/>
      <c r="S417" s="73"/>
      <c r="T417" s="73"/>
      <c r="U417" s="74"/>
    </row>
    <row r="418" spans="2:21" s="15" customFormat="1" x14ac:dyDescent="0.25">
      <c r="B418" s="72" t="s">
        <v>3363</v>
      </c>
      <c r="C418" s="73"/>
      <c r="D418" s="73"/>
      <c r="E418" s="73"/>
      <c r="F418" s="73"/>
      <c r="G418" s="73"/>
      <c r="H418" s="73"/>
      <c r="I418" s="73"/>
      <c r="J418" s="73"/>
      <c r="K418" s="73"/>
      <c r="L418" s="73"/>
      <c r="M418" s="73"/>
      <c r="N418" s="73"/>
      <c r="O418" s="73"/>
      <c r="P418" s="73"/>
      <c r="Q418" s="73"/>
      <c r="R418" s="73"/>
      <c r="S418" s="73"/>
      <c r="T418" s="73"/>
      <c r="U418" s="74"/>
    </row>
    <row r="419" spans="2:21" s="15" customFormat="1" x14ac:dyDescent="0.25">
      <c r="B419" s="72" t="s">
        <v>3127</v>
      </c>
      <c r="C419" s="73"/>
      <c r="D419" s="73"/>
      <c r="E419" s="73"/>
      <c r="F419" s="73"/>
      <c r="G419" s="73"/>
      <c r="H419" s="73"/>
      <c r="I419" s="73"/>
      <c r="J419" s="73"/>
      <c r="K419" s="73"/>
      <c r="L419" s="73"/>
      <c r="M419" s="73"/>
      <c r="N419" s="73"/>
      <c r="O419" s="73"/>
      <c r="P419" s="73"/>
      <c r="Q419" s="73"/>
      <c r="R419" s="73"/>
      <c r="S419" s="73"/>
      <c r="T419" s="73"/>
      <c r="U419" s="74"/>
    </row>
    <row r="420" spans="2:21" s="15" customFormat="1" x14ac:dyDescent="0.25">
      <c r="B420" s="72" t="s">
        <v>3364</v>
      </c>
      <c r="C420" s="73"/>
      <c r="D420" s="73"/>
      <c r="E420" s="73"/>
      <c r="F420" s="73"/>
      <c r="G420" s="73"/>
      <c r="H420" s="73"/>
      <c r="I420" s="73"/>
      <c r="J420" s="73"/>
      <c r="K420" s="73"/>
      <c r="L420" s="73"/>
      <c r="M420" s="73"/>
      <c r="N420" s="73"/>
      <c r="O420" s="73"/>
      <c r="P420" s="73"/>
      <c r="Q420" s="73"/>
      <c r="R420" s="73"/>
      <c r="S420" s="73"/>
      <c r="T420" s="73"/>
      <c r="U420" s="74"/>
    </row>
    <row r="421" spans="2:21" s="15" customFormat="1" x14ac:dyDescent="0.25">
      <c r="B421" s="72" t="s">
        <v>3365</v>
      </c>
      <c r="C421" s="73"/>
      <c r="D421" s="73"/>
      <c r="E421" s="73"/>
      <c r="F421" s="73"/>
      <c r="G421" s="73"/>
      <c r="H421" s="73"/>
      <c r="I421" s="73"/>
      <c r="J421" s="73"/>
      <c r="K421" s="73"/>
      <c r="L421" s="73"/>
      <c r="M421" s="73"/>
      <c r="N421" s="73"/>
      <c r="O421" s="73"/>
      <c r="P421" s="73"/>
      <c r="Q421" s="73"/>
      <c r="R421" s="73"/>
      <c r="S421" s="73"/>
      <c r="T421" s="73"/>
      <c r="U421" s="74"/>
    </row>
    <row r="422" spans="2:21" s="15" customFormat="1" x14ac:dyDescent="0.25">
      <c r="B422" s="72" t="s">
        <v>3262</v>
      </c>
      <c r="C422" s="73"/>
      <c r="D422" s="73"/>
      <c r="E422" s="73"/>
      <c r="F422" s="73"/>
      <c r="G422" s="73"/>
      <c r="H422" s="73"/>
      <c r="I422" s="73"/>
      <c r="J422" s="73"/>
      <c r="K422" s="73"/>
      <c r="L422" s="73"/>
      <c r="M422" s="73"/>
      <c r="N422" s="73"/>
      <c r="O422" s="73"/>
      <c r="P422" s="73"/>
      <c r="Q422" s="73"/>
      <c r="R422" s="73"/>
      <c r="S422" s="73"/>
      <c r="T422" s="73"/>
      <c r="U422" s="74"/>
    </row>
    <row r="423" spans="2:21" s="15" customFormat="1" x14ac:dyDescent="0.25">
      <c r="B423" s="72" t="s">
        <v>3134</v>
      </c>
      <c r="C423" s="73"/>
      <c r="D423" s="73"/>
      <c r="E423" s="73"/>
      <c r="F423" s="73"/>
      <c r="G423" s="73"/>
      <c r="H423" s="73"/>
      <c r="I423" s="73"/>
      <c r="J423" s="73"/>
      <c r="K423" s="73"/>
      <c r="L423" s="73"/>
      <c r="M423" s="73"/>
      <c r="N423" s="73"/>
      <c r="O423" s="73"/>
      <c r="P423" s="73"/>
      <c r="Q423" s="73"/>
      <c r="R423" s="73"/>
      <c r="S423" s="73"/>
      <c r="T423" s="73"/>
      <c r="U423" s="74"/>
    </row>
    <row r="424" spans="2:21" s="15" customFormat="1" x14ac:dyDescent="0.25">
      <c r="B424" s="72" t="s">
        <v>3263</v>
      </c>
      <c r="C424" s="73"/>
      <c r="D424" s="73"/>
      <c r="E424" s="73"/>
      <c r="F424" s="73"/>
      <c r="G424" s="73"/>
      <c r="H424" s="73"/>
      <c r="I424" s="73"/>
      <c r="J424" s="73"/>
      <c r="K424" s="73"/>
      <c r="L424" s="73"/>
      <c r="M424" s="73"/>
      <c r="N424" s="73"/>
      <c r="O424" s="73"/>
      <c r="P424" s="73"/>
      <c r="Q424" s="73"/>
      <c r="R424" s="73"/>
      <c r="S424" s="73"/>
      <c r="T424" s="73"/>
      <c r="U424" s="74"/>
    </row>
    <row r="425" spans="2:21" s="15" customFormat="1" x14ac:dyDescent="0.25">
      <c r="B425" s="72" t="s">
        <v>3136</v>
      </c>
      <c r="C425" s="73"/>
      <c r="D425" s="73"/>
      <c r="E425" s="73"/>
      <c r="F425" s="73"/>
      <c r="G425" s="73"/>
      <c r="H425" s="73"/>
      <c r="I425" s="73"/>
      <c r="J425" s="73"/>
      <c r="K425" s="73"/>
      <c r="L425" s="73"/>
      <c r="M425" s="73"/>
      <c r="N425" s="73"/>
      <c r="O425" s="73"/>
      <c r="P425" s="73"/>
      <c r="Q425" s="73"/>
      <c r="R425" s="73"/>
      <c r="S425" s="73"/>
      <c r="T425" s="73"/>
      <c r="U425" s="74"/>
    </row>
    <row r="426" spans="2:21" s="15" customFormat="1" x14ac:dyDescent="0.25">
      <c r="B426" s="72" t="s">
        <v>3253</v>
      </c>
      <c r="C426" s="73"/>
      <c r="D426" s="73"/>
      <c r="E426" s="73"/>
      <c r="F426" s="73"/>
      <c r="G426" s="73"/>
      <c r="H426" s="73"/>
      <c r="I426" s="73"/>
      <c r="J426" s="73"/>
      <c r="K426" s="73"/>
      <c r="L426" s="73"/>
      <c r="M426" s="73"/>
      <c r="N426" s="73"/>
      <c r="O426" s="73"/>
      <c r="P426" s="73"/>
      <c r="Q426" s="73"/>
      <c r="R426" s="73"/>
      <c r="S426" s="73"/>
      <c r="T426" s="73"/>
      <c r="U426" s="74"/>
    </row>
    <row r="427" spans="2:21" s="15" customFormat="1" x14ac:dyDescent="0.25">
      <c r="B427" s="72" t="s">
        <v>3357</v>
      </c>
      <c r="C427" s="73"/>
      <c r="D427" s="73"/>
      <c r="E427" s="73"/>
      <c r="F427" s="73"/>
      <c r="G427" s="73"/>
      <c r="H427" s="73"/>
      <c r="I427" s="73"/>
      <c r="J427" s="73"/>
      <c r="K427" s="73"/>
      <c r="L427" s="73"/>
      <c r="M427" s="73"/>
      <c r="N427" s="73"/>
      <c r="O427" s="73"/>
      <c r="P427" s="73"/>
      <c r="Q427" s="73"/>
      <c r="R427" s="73"/>
      <c r="S427" s="73"/>
      <c r="T427" s="73"/>
      <c r="U427" s="74"/>
    </row>
    <row r="428" spans="2:21" s="15" customFormat="1" x14ac:dyDescent="0.25">
      <c r="B428" s="72" t="s">
        <v>3139</v>
      </c>
      <c r="C428" s="73"/>
      <c r="D428" s="73"/>
      <c r="E428" s="73"/>
      <c r="F428" s="73"/>
      <c r="G428" s="73"/>
      <c r="H428" s="73"/>
      <c r="I428" s="73"/>
      <c r="J428" s="73"/>
      <c r="K428" s="73"/>
      <c r="L428" s="73"/>
      <c r="M428" s="73"/>
      <c r="N428" s="73"/>
      <c r="O428" s="73"/>
      <c r="P428" s="73"/>
      <c r="Q428" s="73"/>
      <c r="R428" s="73"/>
      <c r="S428" s="73"/>
      <c r="T428" s="73"/>
      <c r="U428" s="74"/>
    </row>
    <row r="429" spans="2:21" s="15" customFormat="1" x14ac:dyDescent="0.25">
      <c r="B429" s="72" t="s">
        <v>3254</v>
      </c>
      <c r="C429" s="73"/>
      <c r="D429" s="73"/>
      <c r="E429" s="73"/>
      <c r="F429" s="73"/>
      <c r="G429" s="73"/>
      <c r="H429" s="73"/>
      <c r="I429" s="73"/>
      <c r="J429" s="73"/>
      <c r="K429" s="73"/>
      <c r="L429" s="73"/>
      <c r="M429" s="73"/>
      <c r="N429" s="73"/>
      <c r="O429" s="73"/>
      <c r="P429" s="73"/>
      <c r="Q429" s="73"/>
      <c r="R429" s="73"/>
      <c r="S429" s="73"/>
      <c r="T429" s="73"/>
      <c r="U429" s="74"/>
    </row>
    <row r="430" spans="2:21" s="15" customFormat="1" x14ac:dyDescent="0.25">
      <c r="B430" s="72" t="s">
        <v>3366</v>
      </c>
      <c r="C430" s="73"/>
      <c r="D430" s="73"/>
      <c r="E430" s="73"/>
      <c r="F430" s="73"/>
      <c r="G430" s="73"/>
      <c r="H430" s="73"/>
      <c r="I430" s="73"/>
      <c r="J430" s="73"/>
      <c r="K430" s="73"/>
      <c r="L430" s="73"/>
      <c r="M430" s="73"/>
      <c r="N430" s="73"/>
      <c r="O430" s="73"/>
      <c r="P430" s="73"/>
      <c r="Q430" s="73"/>
      <c r="R430" s="73"/>
      <c r="S430" s="73"/>
      <c r="T430" s="73"/>
      <c r="U430" s="74"/>
    </row>
    <row r="431" spans="2:21" s="15" customFormat="1" x14ac:dyDescent="0.25">
      <c r="B431" s="72" t="s">
        <v>3367</v>
      </c>
      <c r="C431" s="73"/>
      <c r="D431" s="73"/>
      <c r="E431" s="73"/>
      <c r="F431" s="73"/>
      <c r="G431" s="73"/>
      <c r="H431" s="73"/>
      <c r="I431" s="73"/>
      <c r="J431" s="73"/>
      <c r="K431" s="73"/>
      <c r="L431" s="73"/>
      <c r="M431" s="73"/>
      <c r="N431" s="73"/>
      <c r="O431" s="73"/>
      <c r="P431" s="73"/>
      <c r="Q431" s="73"/>
      <c r="R431" s="73"/>
      <c r="S431" s="73"/>
      <c r="T431" s="73"/>
      <c r="U431" s="74"/>
    </row>
    <row r="432" spans="2:21" s="15" customFormat="1" x14ac:dyDescent="0.25">
      <c r="B432" s="72" t="s">
        <v>3146</v>
      </c>
      <c r="C432" s="73"/>
      <c r="D432" s="73"/>
      <c r="E432" s="73"/>
      <c r="F432" s="73"/>
      <c r="G432" s="73"/>
      <c r="H432" s="73"/>
      <c r="I432" s="73"/>
      <c r="J432" s="73"/>
      <c r="K432" s="73"/>
      <c r="L432" s="73"/>
      <c r="M432" s="73"/>
      <c r="N432" s="73"/>
      <c r="O432" s="73"/>
      <c r="P432" s="73"/>
      <c r="Q432" s="73"/>
      <c r="R432" s="73"/>
      <c r="S432" s="73"/>
      <c r="T432" s="73"/>
      <c r="U432" s="74"/>
    </row>
    <row r="433" spans="2:21" s="15" customFormat="1" x14ac:dyDescent="0.25">
      <c r="B433" s="72" t="s">
        <v>3125</v>
      </c>
      <c r="C433" s="73"/>
      <c r="D433" s="73"/>
      <c r="E433" s="73"/>
      <c r="F433" s="73"/>
      <c r="G433" s="73"/>
      <c r="H433" s="73"/>
      <c r="I433" s="73"/>
      <c r="J433" s="73"/>
      <c r="K433" s="73"/>
      <c r="L433" s="73"/>
      <c r="M433" s="73"/>
      <c r="N433" s="73"/>
      <c r="O433" s="73"/>
      <c r="P433" s="73"/>
      <c r="Q433" s="73"/>
      <c r="R433" s="73"/>
      <c r="S433" s="73"/>
      <c r="T433" s="73"/>
      <c r="U433" s="74"/>
    </row>
    <row r="434" spans="2:21" s="15" customFormat="1" x14ac:dyDescent="0.25">
      <c r="B434" s="72" t="s">
        <v>3257</v>
      </c>
      <c r="C434" s="73"/>
      <c r="D434" s="73"/>
      <c r="E434" s="73"/>
      <c r="F434" s="73"/>
      <c r="G434" s="73"/>
      <c r="H434" s="73"/>
      <c r="I434" s="73"/>
      <c r="J434" s="73"/>
      <c r="K434" s="73"/>
      <c r="L434" s="73"/>
      <c r="M434" s="73"/>
      <c r="N434" s="73"/>
      <c r="O434" s="73"/>
      <c r="P434" s="73"/>
      <c r="Q434" s="73"/>
      <c r="R434" s="73"/>
      <c r="S434" s="73"/>
      <c r="T434" s="73"/>
      <c r="U434" s="74"/>
    </row>
    <row r="435" spans="2:21" s="15" customFormat="1" x14ac:dyDescent="0.25">
      <c r="B435" s="72" t="s">
        <v>3368</v>
      </c>
      <c r="C435" s="73"/>
      <c r="D435" s="73"/>
      <c r="E435" s="73"/>
      <c r="F435" s="73"/>
      <c r="G435" s="73"/>
      <c r="H435" s="73"/>
      <c r="I435" s="73"/>
      <c r="J435" s="73"/>
      <c r="K435" s="73"/>
      <c r="L435" s="73"/>
      <c r="M435" s="73"/>
      <c r="N435" s="73"/>
      <c r="O435" s="73"/>
      <c r="P435" s="73"/>
      <c r="Q435" s="73"/>
      <c r="R435" s="73"/>
      <c r="S435" s="73"/>
      <c r="T435" s="73"/>
      <c r="U435" s="74"/>
    </row>
    <row r="436" spans="2:21" s="15" customFormat="1" x14ac:dyDescent="0.25">
      <c r="B436" s="72" t="s">
        <v>3127</v>
      </c>
      <c r="C436" s="73"/>
      <c r="D436" s="73"/>
      <c r="E436" s="73"/>
      <c r="F436" s="73"/>
      <c r="G436" s="73"/>
      <c r="H436" s="73"/>
      <c r="I436" s="73"/>
      <c r="J436" s="73"/>
      <c r="K436" s="73"/>
      <c r="L436" s="73"/>
      <c r="M436" s="73"/>
      <c r="N436" s="73"/>
      <c r="O436" s="73"/>
      <c r="P436" s="73"/>
      <c r="Q436" s="73"/>
      <c r="R436" s="73"/>
      <c r="S436" s="73"/>
      <c r="T436" s="73"/>
      <c r="U436" s="74"/>
    </row>
    <row r="437" spans="2:21" s="15" customFormat="1" x14ac:dyDescent="0.25">
      <c r="B437" s="72" t="s">
        <v>3369</v>
      </c>
      <c r="C437" s="73"/>
      <c r="D437" s="73"/>
      <c r="E437" s="73"/>
      <c r="F437" s="73"/>
      <c r="G437" s="73"/>
      <c r="H437" s="73"/>
      <c r="I437" s="73"/>
      <c r="J437" s="73"/>
      <c r="K437" s="73"/>
      <c r="L437" s="73"/>
      <c r="M437" s="73"/>
      <c r="N437" s="73"/>
      <c r="O437" s="73"/>
      <c r="P437" s="73"/>
      <c r="Q437" s="73"/>
      <c r="R437" s="73"/>
      <c r="S437" s="73"/>
      <c r="T437" s="73"/>
      <c r="U437" s="74"/>
    </row>
    <row r="438" spans="2:21" s="15" customFormat="1" x14ac:dyDescent="0.25">
      <c r="B438" s="72" t="s">
        <v>3370</v>
      </c>
      <c r="C438" s="73"/>
      <c r="D438" s="73"/>
      <c r="E438" s="73"/>
      <c r="F438" s="73"/>
      <c r="G438" s="73"/>
      <c r="H438" s="73"/>
      <c r="I438" s="73"/>
      <c r="J438" s="73"/>
      <c r="K438" s="73"/>
      <c r="L438" s="73"/>
      <c r="M438" s="73"/>
      <c r="N438" s="73"/>
      <c r="O438" s="73"/>
      <c r="P438" s="73"/>
      <c r="Q438" s="73"/>
      <c r="R438" s="73"/>
      <c r="S438" s="73"/>
      <c r="T438" s="73"/>
      <c r="U438" s="74"/>
    </row>
    <row r="439" spans="2:21" s="15" customFormat="1" x14ac:dyDescent="0.25">
      <c r="B439" s="72" t="s">
        <v>3371</v>
      </c>
      <c r="C439" s="73"/>
      <c r="D439" s="73"/>
      <c r="E439" s="73"/>
      <c r="F439" s="73"/>
      <c r="G439" s="73"/>
      <c r="H439" s="73"/>
      <c r="I439" s="73"/>
      <c r="J439" s="73"/>
      <c r="K439" s="73"/>
      <c r="L439" s="73"/>
      <c r="M439" s="73"/>
      <c r="N439" s="73"/>
      <c r="O439" s="73"/>
      <c r="P439" s="73"/>
      <c r="Q439" s="73"/>
      <c r="R439" s="73"/>
      <c r="S439" s="73"/>
      <c r="T439" s="73"/>
      <c r="U439" s="74"/>
    </row>
    <row r="440" spans="2:21" s="15" customFormat="1" x14ac:dyDescent="0.25">
      <c r="B440" s="72" t="s">
        <v>3134</v>
      </c>
      <c r="C440" s="73"/>
      <c r="D440" s="73"/>
      <c r="E440" s="73"/>
      <c r="F440" s="73"/>
      <c r="G440" s="73"/>
      <c r="H440" s="73"/>
      <c r="I440" s="73"/>
      <c r="J440" s="73"/>
      <c r="K440" s="73"/>
      <c r="L440" s="73"/>
      <c r="M440" s="73"/>
      <c r="N440" s="73"/>
      <c r="O440" s="73"/>
      <c r="P440" s="73"/>
      <c r="Q440" s="73"/>
      <c r="R440" s="73"/>
      <c r="S440" s="73"/>
      <c r="T440" s="73"/>
      <c r="U440" s="74"/>
    </row>
    <row r="441" spans="2:21" s="15" customFormat="1" x14ac:dyDescent="0.25">
      <c r="B441" s="72" t="s">
        <v>3263</v>
      </c>
      <c r="C441" s="73"/>
      <c r="D441" s="73"/>
      <c r="E441" s="73"/>
      <c r="F441" s="73"/>
      <c r="G441" s="73"/>
      <c r="H441" s="73"/>
      <c r="I441" s="73"/>
      <c r="J441" s="73"/>
      <c r="K441" s="73"/>
      <c r="L441" s="73"/>
      <c r="M441" s="73"/>
      <c r="N441" s="73"/>
      <c r="O441" s="73"/>
      <c r="P441" s="73"/>
      <c r="Q441" s="73"/>
      <c r="R441" s="73"/>
      <c r="S441" s="73"/>
      <c r="T441" s="73"/>
      <c r="U441" s="74"/>
    </row>
    <row r="442" spans="2:21" s="15" customFormat="1" x14ac:dyDescent="0.25">
      <c r="B442" s="72" t="s">
        <v>3136</v>
      </c>
      <c r="C442" s="73"/>
      <c r="D442" s="73"/>
      <c r="E442" s="73"/>
      <c r="F442" s="73"/>
      <c r="G442" s="73"/>
      <c r="H442" s="73"/>
      <c r="I442" s="73"/>
      <c r="J442" s="73"/>
      <c r="K442" s="73"/>
      <c r="L442" s="73"/>
      <c r="M442" s="73"/>
      <c r="N442" s="73"/>
      <c r="O442" s="73"/>
      <c r="P442" s="73"/>
      <c r="Q442" s="73"/>
      <c r="R442" s="73"/>
      <c r="S442" s="73"/>
      <c r="T442" s="73"/>
      <c r="U442" s="74"/>
    </row>
    <row r="443" spans="2:21" s="15" customFormat="1" x14ac:dyDescent="0.25">
      <c r="B443" s="72" t="s">
        <v>3253</v>
      </c>
      <c r="C443" s="73"/>
      <c r="D443" s="73"/>
      <c r="E443" s="73"/>
      <c r="F443" s="73"/>
      <c r="G443" s="73"/>
      <c r="H443" s="73"/>
      <c r="I443" s="73"/>
      <c r="J443" s="73"/>
      <c r="K443" s="73"/>
      <c r="L443" s="73"/>
      <c r="M443" s="73"/>
      <c r="N443" s="73"/>
      <c r="O443" s="73"/>
      <c r="P443" s="73"/>
      <c r="Q443" s="73"/>
      <c r="R443" s="73"/>
      <c r="S443" s="73"/>
      <c r="T443" s="73"/>
      <c r="U443" s="74"/>
    </row>
    <row r="444" spans="2:21" s="15" customFormat="1" x14ac:dyDescent="0.25">
      <c r="B444" s="72" t="s">
        <v>3138</v>
      </c>
      <c r="C444" s="73"/>
      <c r="D444" s="73"/>
      <c r="E444" s="73"/>
      <c r="F444" s="73"/>
      <c r="G444" s="73"/>
      <c r="H444" s="73"/>
      <c r="I444" s="73"/>
      <c r="J444" s="73"/>
      <c r="K444" s="73"/>
      <c r="L444" s="73"/>
      <c r="M444" s="73"/>
      <c r="N444" s="73"/>
      <c r="O444" s="73"/>
      <c r="P444" s="73"/>
      <c r="Q444" s="73"/>
      <c r="R444" s="73"/>
      <c r="S444" s="73"/>
      <c r="T444" s="73"/>
      <c r="U444" s="74"/>
    </row>
    <row r="445" spans="2:21" s="15" customFormat="1" x14ac:dyDescent="0.25">
      <c r="B445" s="72" t="s">
        <v>3139</v>
      </c>
      <c r="C445" s="73"/>
      <c r="D445" s="73"/>
      <c r="E445" s="73"/>
      <c r="F445" s="73"/>
      <c r="G445" s="73"/>
      <c r="H445" s="73"/>
      <c r="I445" s="73"/>
      <c r="J445" s="73"/>
      <c r="K445" s="73"/>
      <c r="L445" s="73"/>
      <c r="M445" s="73"/>
      <c r="N445" s="73"/>
      <c r="O445" s="73"/>
      <c r="P445" s="73"/>
      <c r="Q445" s="73"/>
      <c r="R445" s="73"/>
      <c r="S445" s="73"/>
      <c r="T445" s="73"/>
      <c r="U445" s="74"/>
    </row>
    <row r="446" spans="2:21" s="15" customFormat="1" x14ac:dyDescent="0.25">
      <c r="B446" s="72" t="s">
        <v>3254</v>
      </c>
      <c r="C446" s="73"/>
      <c r="D446" s="73"/>
      <c r="E446" s="73"/>
      <c r="F446" s="73"/>
      <c r="G446" s="73"/>
      <c r="H446" s="73"/>
      <c r="I446" s="73"/>
      <c r="J446" s="73"/>
      <c r="K446" s="73"/>
      <c r="L446" s="73"/>
      <c r="M446" s="73"/>
      <c r="N446" s="73"/>
      <c r="O446" s="73"/>
      <c r="P446" s="73"/>
      <c r="Q446" s="73"/>
      <c r="R446" s="73"/>
      <c r="S446" s="73"/>
      <c r="T446" s="73"/>
      <c r="U446" s="74"/>
    </row>
    <row r="447" spans="2:21" s="15" customFormat="1" x14ac:dyDescent="0.25">
      <c r="B447" s="72" t="s">
        <v>3372</v>
      </c>
      <c r="C447" s="73"/>
      <c r="D447" s="73"/>
      <c r="E447" s="73"/>
      <c r="F447" s="73"/>
      <c r="G447" s="73"/>
      <c r="H447" s="73"/>
      <c r="I447" s="73"/>
      <c r="J447" s="73"/>
      <c r="K447" s="73"/>
      <c r="L447" s="73"/>
      <c r="M447" s="73"/>
      <c r="N447" s="73"/>
      <c r="O447" s="73"/>
      <c r="P447" s="73"/>
      <c r="Q447" s="73"/>
      <c r="R447" s="73"/>
      <c r="S447" s="73"/>
      <c r="T447" s="73"/>
      <c r="U447" s="74"/>
    </row>
    <row r="448" spans="2:21" s="15" customFormat="1" x14ac:dyDescent="0.25">
      <c r="B448" s="72" t="s">
        <v>3265</v>
      </c>
      <c r="C448" s="73"/>
      <c r="D448" s="73"/>
      <c r="E448" s="73"/>
      <c r="F448" s="73"/>
      <c r="G448" s="73"/>
      <c r="H448" s="73"/>
      <c r="I448" s="73"/>
      <c r="J448" s="73"/>
      <c r="K448" s="73"/>
      <c r="L448" s="73"/>
      <c r="M448" s="73"/>
      <c r="N448" s="73"/>
      <c r="O448" s="73"/>
      <c r="P448" s="73"/>
      <c r="Q448" s="73"/>
      <c r="R448" s="73"/>
      <c r="S448" s="73"/>
      <c r="T448" s="73"/>
      <c r="U448" s="74"/>
    </row>
    <row r="449" spans="2:21" s="15" customFormat="1" x14ac:dyDescent="0.25">
      <c r="B449" s="72" t="s">
        <v>3146</v>
      </c>
      <c r="C449" s="73"/>
      <c r="D449" s="73"/>
      <c r="E449" s="73"/>
      <c r="F449" s="73"/>
      <c r="G449" s="73"/>
      <c r="H449" s="73"/>
      <c r="I449" s="73"/>
      <c r="J449" s="73"/>
      <c r="K449" s="73"/>
      <c r="L449" s="73"/>
      <c r="M449" s="73"/>
      <c r="N449" s="73"/>
      <c r="O449" s="73"/>
      <c r="P449" s="73"/>
      <c r="Q449" s="73"/>
      <c r="R449" s="73"/>
      <c r="S449" s="73"/>
      <c r="T449" s="73"/>
      <c r="U449" s="74"/>
    </row>
    <row r="450" spans="2:21" s="15" customFormat="1" x14ac:dyDescent="0.25">
      <c r="B450" s="72" t="s">
        <v>3125</v>
      </c>
      <c r="C450" s="73"/>
      <c r="D450" s="73"/>
      <c r="E450" s="73"/>
      <c r="F450" s="73"/>
      <c r="G450" s="73"/>
      <c r="H450" s="73"/>
      <c r="I450" s="73"/>
      <c r="J450" s="73"/>
      <c r="K450" s="73"/>
      <c r="L450" s="73"/>
      <c r="M450" s="73"/>
      <c r="N450" s="73"/>
      <c r="O450" s="73"/>
      <c r="P450" s="73"/>
      <c r="Q450" s="73"/>
      <c r="R450" s="73"/>
      <c r="S450" s="73"/>
      <c r="T450" s="73"/>
      <c r="U450" s="74"/>
    </row>
    <row r="451" spans="2:21" s="15" customFormat="1" x14ac:dyDescent="0.25">
      <c r="B451" s="72" t="s">
        <v>3257</v>
      </c>
      <c r="C451" s="73"/>
      <c r="D451" s="73"/>
      <c r="E451" s="73"/>
      <c r="F451" s="73"/>
      <c r="G451" s="73"/>
      <c r="H451" s="73"/>
      <c r="I451" s="73"/>
      <c r="J451" s="73"/>
      <c r="K451" s="73"/>
      <c r="L451" s="73"/>
      <c r="M451" s="73"/>
      <c r="N451" s="73"/>
      <c r="O451" s="73"/>
      <c r="P451" s="73"/>
      <c r="Q451" s="73"/>
      <c r="R451" s="73"/>
      <c r="S451" s="73"/>
      <c r="T451" s="73"/>
      <c r="U451" s="74"/>
    </row>
    <row r="452" spans="2:21" s="15" customFormat="1" x14ac:dyDescent="0.25">
      <c r="B452" s="72" t="s">
        <v>3373</v>
      </c>
      <c r="C452" s="73"/>
      <c r="D452" s="73"/>
      <c r="E452" s="73"/>
      <c r="F452" s="73"/>
      <c r="G452" s="73"/>
      <c r="H452" s="73"/>
      <c r="I452" s="73"/>
      <c r="J452" s="73"/>
      <c r="K452" s="73"/>
      <c r="L452" s="73"/>
      <c r="M452" s="73"/>
      <c r="N452" s="73"/>
      <c r="O452" s="73"/>
      <c r="P452" s="73"/>
      <c r="Q452" s="73"/>
      <c r="R452" s="73"/>
      <c r="S452" s="73"/>
      <c r="T452" s="73"/>
      <c r="U452" s="74"/>
    </row>
    <row r="453" spans="2:21" s="15" customFormat="1" x14ac:dyDescent="0.25">
      <c r="B453" s="72" t="s">
        <v>3127</v>
      </c>
      <c r="C453" s="73"/>
      <c r="D453" s="73"/>
      <c r="E453" s="73"/>
      <c r="F453" s="73"/>
      <c r="G453" s="73"/>
      <c r="H453" s="73"/>
      <c r="I453" s="73"/>
      <c r="J453" s="73"/>
      <c r="K453" s="73"/>
      <c r="L453" s="73"/>
      <c r="M453" s="73"/>
      <c r="N453" s="73"/>
      <c r="O453" s="73"/>
      <c r="P453" s="73"/>
      <c r="Q453" s="73"/>
      <c r="R453" s="73"/>
      <c r="S453" s="73"/>
      <c r="T453" s="73"/>
      <c r="U453" s="74"/>
    </row>
    <row r="454" spans="2:21" s="15" customFormat="1" x14ac:dyDescent="0.25">
      <c r="B454" s="72" t="s">
        <v>3374</v>
      </c>
      <c r="C454" s="73"/>
      <c r="D454" s="73"/>
      <c r="E454" s="73"/>
      <c r="F454" s="73"/>
      <c r="G454" s="73"/>
      <c r="H454" s="73"/>
      <c r="I454" s="73"/>
      <c r="J454" s="73"/>
      <c r="K454" s="73"/>
      <c r="L454" s="73"/>
      <c r="M454" s="73"/>
      <c r="N454" s="73"/>
      <c r="O454" s="73"/>
      <c r="P454" s="73"/>
      <c r="Q454" s="73"/>
      <c r="R454" s="73"/>
      <c r="S454" s="73"/>
      <c r="T454" s="73"/>
      <c r="U454" s="74"/>
    </row>
    <row r="455" spans="2:21" s="15" customFormat="1" x14ac:dyDescent="0.25">
      <c r="B455" s="72" t="s">
        <v>3375</v>
      </c>
      <c r="C455" s="73"/>
      <c r="D455" s="73"/>
      <c r="E455" s="73"/>
      <c r="F455" s="73"/>
      <c r="G455" s="73"/>
      <c r="H455" s="73"/>
      <c r="I455" s="73"/>
      <c r="J455" s="73"/>
      <c r="K455" s="73"/>
      <c r="L455" s="73"/>
      <c r="M455" s="73"/>
      <c r="N455" s="73"/>
      <c r="O455" s="73"/>
      <c r="P455" s="73"/>
      <c r="Q455" s="73"/>
      <c r="R455" s="73"/>
      <c r="S455" s="73"/>
      <c r="T455" s="73"/>
      <c r="U455" s="74"/>
    </row>
    <row r="456" spans="2:21" s="15" customFormat="1" x14ac:dyDescent="0.25">
      <c r="B456" s="72" t="s">
        <v>3376</v>
      </c>
      <c r="C456" s="73"/>
      <c r="D456" s="73"/>
      <c r="E456" s="73"/>
      <c r="F456" s="73"/>
      <c r="G456" s="73"/>
      <c r="H456" s="73"/>
      <c r="I456" s="73"/>
      <c r="J456" s="73"/>
      <c r="K456" s="73"/>
      <c r="L456" s="73"/>
      <c r="M456" s="73"/>
      <c r="N456" s="73"/>
      <c r="O456" s="73"/>
      <c r="P456" s="73"/>
      <c r="Q456" s="73"/>
      <c r="R456" s="73"/>
      <c r="S456" s="73"/>
      <c r="T456" s="73"/>
      <c r="U456" s="74"/>
    </row>
    <row r="457" spans="2:21" s="15" customFormat="1" x14ac:dyDescent="0.25">
      <c r="B457" s="72" t="s">
        <v>3262</v>
      </c>
      <c r="C457" s="73"/>
      <c r="D457" s="73"/>
      <c r="E457" s="73"/>
      <c r="F457" s="73"/>
      <c r="G457" s="73"/>
      <c r="H457" s="73"/>
      <c r="I457" s="73"/>
      <c r="J457" s="73"/>
      <c r="K457" s="73"/>
      <c r="L457" s="73"/>
      <c r="M457" s="73"/>
      <c r="N457" s="73"/>
      <c r="O457" s="73"/>
      <c r="P457" s="73"/>
      <c r="Q457" s="73"/>
      <c r="R457" s="73"/>
      <c r="S457" s="73"/>
      <c r="T457" s="73"/>
      <c r="U457" s="74"/>
    </row>
    <row r="458" spans="2:21" s="15" customFormat="1" x14ac:dyDescent="0.25">
      <c r="B458" s="72" t="s">
        <v>3134</v>
      </c>
      <c r="C458" s="73"/>
      <c r="D458" s="73"/>
      <c r="E458" s="73"/>
      <c r="F458" s="73"/>
      <c r="G458" s="73"/>
      <c r="H458" s="73"/>
      <c r="I458" s="73"/>
      <c r="J458" s="73"/>
      <c r="K458" s="73"/>
      <c r="L458" s="73"/>
      <c r="M458" s="73"/>
      <c r="N458" s="73"/>
      <c r="O458" s="73"/>
      <c r="P458" s="73"/>
      <c r="Q458" s="73"/>
      <c r="R458" s="73"/>
      <c r="S458" s="73"/>
      <c r="T458" s="73"/>
      <c r="U458" s="74"/>
    </row>
    <row r="459" spans="2:21" s="15" customFormat="1" x14ac:dyDescent="0.25">
      <c r="B459" s="72" t="s">
        <v>3263</v>
      </c>
      <c r="C459" s="73"/>
      <c r="D459" s="73"/>
      <c r="E459" s="73"/>
      <c r="F459" s="73"/>
      <c r="G459" s="73"/>
      <c r="H459" s="73"/>
      <c r="I459" s="73"/>
      <c r="J459" s="73"/>
      <c r="K459" s="73"/>
      <c r="L459" s="73"/>
      <c r="M459" s="73"/>
      <c r="N459" s="73"/>
      <c r="O459" s="73"/>
      <c r="P459" s="73"/>
      <c r="Q459" s="73"/>
      <c r="R459" s="73"/>
      <c r="S459" s="73"/>
      <c r="T459" s="73"/>
      <c r="U459" s="74"/>
    </row>
    <row r="460" spans="2:21" s="15" customFormat="1" x14ac:dyDescent="0.25">
      <c r="B460" s="72" t="s">
        <v>3136</v>
      </c>
      <c r="C460" s="73"/>
      <c r="D460" s="73"/>
      <c r="E460" s="73"/>
      <c r="F460" s="73"/>
      <c r="G460" s="73"/>
      <c r="H460" s="73"/>
      <c r="I460" s="73"/>
      <c r="J460" s="73"/>
      <c r="K460" s="73"/>
      <c r="L460" s="73"/>
      <c r="M460" s="73"/>
      <c r="N460" s="73"/>
      <c r="O460" s="73"/>
      <c r="P460" s="73"/>
      <c r="Q460" s="73"/>
      <c r="R460" s="73"/>
      <c r="S460" s="73"/>
      <c r="T460" s="73"/>
      <c r="U460" s="74"/>
    </row>
    <row r="461" spans="2:21" s="15" customFormat="1" x14ac:dyDescent="0.25">
      <c r="B461" s="72" t="s">
        <v>3253</v>
      </c>
      <c r="C461" s="73"/>
      <c r="D461" s="73"/>
      <c r="E461" s="73"/>
      <c r="F461" s="73"/>
      <c r="G461" s="73"/>
      <c r="H461" s="73"/>
      <c r="I461" s="73"/>
      <c r="J461" s="73"/>
      <c r="K461" s="73"/>
      <c r="L461" s="73"/>
      <c r="M461" s="73"/>
      <c r="N461" s="73"/>
      <c r="O461" s="73"/>
      <c r="P461" s="73"/>
      <c r="Q461" s="73"/>
      <c r="R461" s="73"/>
      <c r="S461" s="73"/>
      <c r="T461" s="73"/>
      <c r="U461" s="74"/>
    </row>
    <row r="462" spans="2:21" s="15" customFormat="1" x14ac:dyDescent="0.25">
      <c r="B462" s="72" t="s">
        <v>3138</v>
      </c>
      <c r="C462" s="73"/>
      <c r="D462" s="73"/>
      <c r="E462" s="73"/>
      <c r="F462" s="73"/>
      <c r="G462" s="73"/>
      <c r="H462" s="73"/>
      <c r="I462" s="73"/>
      <c r="J462" s="73"/>
      <c r="K462" s="73"/>
      <c r="L462" s="73"/>
      <c r="M462" s="73"/>
      <c r="N462" s="73"/>
      <c r="O462" s="73"/>
      <c r="P462" s="73"/>
      <c r="Q462" s="73"/>
      <c r="R462" s="73"/>
      <c r="S462" s="73"/>
      <c r="T462" s="73"/>
      <c r="U462" s="74"/>
    </row>
    <row r="463" spans="2:21" s="15" customFormat="1" x14ac:dyDescent="0.25">
      <c r="B463" s="72" t="s">
        <v>3139</v>
      </c>
      <c r="C463" s="73"/>
      <c r="D463" s="73"/>
      <c r="E463" s="73"/>
      <c r="F463" s="73"/>
      <c r="G463" s="73"/>
      <c r="H463" s="73"/>
      <c r="I463" s="73"/>
      <c r="J463" s="73"/>
      <c r="K463" s="73"/>
      <c r="L463" s="73"/>
      <c r="M463" s="73"/>
      <c r="N463" s="73"/>
      <c r="O463" s="73"/>
      <c r="P463" s="73"/>
      <c r="Q463" s="73"/>
      <c r="R463" s="73"/>
      <c r="S463" s="73"/>
      <c r="T463" s="73"/>
      <c r="U463" s="74"/>
    </row>
    <row r="464" spans="2:21" s="15" customFormat="1" x14ac:dyDescent="0.25">
      <c r="B464" s="72" t="s">
        <v>3254</v>
      </c>
      <c r="C464" s="73"/>
      <c r="D464" s="73"/>
      <c r="E464" s="73"/>
      <c r="F464" s="73"/>
      <c r="G464" s="73"/>
      <c r="H464" s="73"/>
      <c r="I464" s="73"/>
      <c r="J464" s="73"/>
      <c r="K464" s="73"/>
      <c r="L464" s="73"/>
      <c r="M464" s="73"/>
      <c r="N464" s="73"/>
      <c r="O464" s="73"/>
      <c r="P464" s="73"/>
      <c r="Q464" s="73"/>
      <c r="R464" s="73"/>
      <c r="S464" s="73"/>
      <c r="T464" s="73"/>
      <c r="U464" s="74"/>
    </row>
    <row r="465" spans="2:21" s="15" customFormat="1" x14ac:dyDescent="0.25">
      <c r="B465" s="72" t="s">
        <v>3377</v>
      </c>
      <c r="C465" s="73"/>
      <c r="D465" s="73"/>
      <c r="E465" s="73"/>
      <c r="F465" s="73"/>
      <c r="G465" s="73"/>
      <c r="H465" s="73"/>
      <c r="I465" s="73"/>
      <c r="J465" s="73"/>
      <c r="K465" s="73"/>
      <c r="L465" s="73"/>
      <c r="M465" s="73"/>
      <c r="N465" s="73"/>
      <c r="O465" s="73"/>
      <c r="P465" s="73"/>
      <c r="Q465" s="73"/>
      <c r="R465" s="73"/>
      <c r="S465" s="73"/>
      <c r="T465" s="73"/>
      <c r="U465" s="74"/>
    </row>
    <row r="466" spans="2:21" s="15" customFormat="1" x14ac:dyDescent="0.25">
      <c r="B466" s="72" t="s">
        <v>3265</v>
      </c>
      <c r="C466" s="73"/>
      <c r="D466" s="73"/>
      <c r="E466" s="73"/>
      <c r="F466" s="73"/>
      <c r="G466" s="73"/>
      <c r="H466" s="73"/>
      <c r="I466" s="73"/>
      <c r="J466" s="73"/>
      <c r="K466" s="73"/>
      <c r="L466" s="73"/>
      <c r="M466" s="73"/>
      <c r="N466" s="73"/>
      <c r="O466" s="73"/>
      <c r="P466" s="73"/>
      <c r="Q466" s="73"/>
      <c r="R466" s="73"/>
      <c r="S466" s="73"/>
      <c r="T466" s="73"/>
      <c r="U466" s="74"/>
    </row>
    <row r="467" spans="2:21" s="15" customFormat="1" x14ac:dyDescent="0.25">
      <c r="B467" s="72" t="s">
        <v>3146</v>
      </c>
      <c r="C467" s="73"/>
      <c r="D467" s="73"/>
      <c r="E467" s="73"/>
      <c r="F467" s="73"/>
      <c r="G467" s="73"/>
      <c r="H467" s="73"/>
      <c r="I467" s="73"/>
      <c r="J467" s="73"/>
      <c r="K467" s="73"/>
      <c r="L467" s="73"/>
      <c r="M467" s="73"/>
      <c r="N467" s="73"/>
      <c r="O467" s="73"/>
      <c r="P467" s="73"/>
      <c r="Q467" s="73"/>
      <c r="R467" s="73"/>
      <c r="S467" s="73"/>
      <c r="T467" s="73"/>
      <c r="U467" s="74"/>
    </row>
    <row r="468" spans="2:21" s="15" customFormat="1" x14ac:dyDescent="0.25">
      <c r="B468" s="72" t="s">
        <v>3125</v>
      </c>
      <c r="C468" s="73"/>
      <c r="D468" s="73"/>
      <c r="E468" s="73"/>
      <c r="F468" s="73"/>
      <c r="G468" s="73"/>
      <c r="H468" s="73"/>
      <c r="I468" s="73"/>
      <c r="J468" s="73"/>
      <c r="K468" s="73"/>
      <c r="L468" s="73"/>
      <c r="M468" s="73"/>
      <c r="N468" s="73"/>
      <c r="O468" s="73"/>
      <c r="P468" s="73"/>
      <c r="Q468" s="73"/>
      <c r="R468" s="73"/>
      <c r="S468" s="73"/>
      <c r="T468" s="73"/>
      <c r="U468" s="74"/>
    </row>
    <row r="469" spans="2:21" s="15" customFormat="1" x14ac:dyDescent="0.25">
      <c r="B469" s="72" t="s">
        <v>3257</v>
      </c>
      <c r="C469" s="73"/>
      <c r="D469" s="73"/>
      <c r="E469" s="73"/>
      <c r="F469" s="73"/>
      <c r="G469" s="73"/>
      <c r="H469" s="73"/>
      <c r="I469" s="73"/>
      <c r="J469" s="73"/>
      <c r="K469" s="73"/>
      <c r="L469" s="73"/>
      <c r="M469" s="73"/>
      <c r="N469" s="73"/>
      <c r="O469" s="73"/>
      <c r="P469" s="73"/>
      <c r="Q469" s="73"/>
      <c r="R469" s="73"/>
      <c r="S469" s="73"/>
      <c r="T469" s="73"/>
      <c r="U469" s="74"/>
    </row>
    <row r="470" spans="2:21" s="15" customFormat="1" x14ac:dyDescent="0.25">
      <c r="B470" s="72" t="s">
        <v>3378</v>
      </c>
      <c r="C470" s="73"/>
      <c r="D470" s="73"/>
      <c r="E470" s="73"/>
      <c r="F470" s="73"/>
      <c r="G470" s="73"/>
      <c r="H470" s="73"/>
      <c r="I470" s="73"/>
      <c r="J470" s="73"/>
      <c r="K470" s="73"/>
      <c r="L470" s="73"/>
      <c r="M470" s="73"/>
      <c r="N470" s="73"/>
      <c r="O470" s="73"/>
      <c r="P470" s="73"/>
      <c r="Q470" s="73"/>
      <c r="R470" s="73"/>
      <c r="S470" s="73"/>
      <c r="T470" s="73"/>
      <c r="U470" s="74"/>
    </row>
    <row r="471" spans="2:21" s="15" customFormat="1" x14ac:dyDescent="0.25">
      <c r="B471" s="72" t="s">
        <v>3127</v>
      </c>
      <c r="C471" s="73"/>
      <c r="D471" s="73"/>
      <c r="E471" s="73"/>
      <c r="F471" s="73"/>
      <c r="G471" s="73"/>
      <c r="H471" s="73"/>
      <c r="I471" s="73"/>
      <c r="J471" s="73"/>
      <c r="K471" s="73"/>
      <c r="L471" s="73"/>
      <c r="M471" s="73"/>
      <c r="N471" s="73"/>
      <c r="O471" s="73"/>
      <c r="P471" s="73"/>
      <c r="Q471" s="73"/>
      <c r="R471" s="73"/>
      <c r="S471" s="73"/>
      <c r="T471" s="73"/>
      <c r="U471" s="74"/>
    </row>
    <row r="472" spans="2:21" s="15" customFormat="1" x14ac:dyDescent="0.25">
      <c r="B472" s="72" t="s">
        <v>3379</v>
      </c>
      <c r="C472" s="73"/>
      <c r="D472" s="73"/>
      <c r="E472" s="73"/>
      <c r="F472" s="73"/>
      <c r="G472" s="73"/>
      <c r="H472" s="73"/>
      <c r="I472" s="73"/>
      <c r="J472" s="73"/>
      <c r="K472" s="73"/>
      <c r="L472" s="73"/>
      <c r="M472" s="73"/>
      <c r="N472" s="73"/>
      <c r="O472" s="73"/>
      <c r="P472" s="73"/>
      <c r="Q472" s="73"/>
      <c r="R472" s="73"/>
      <c r="S472" s="73"/>
      <c r="T472" s="73"/>
      <c r="U472" s="74"/>
    </row>
    <row r="473" spans="2:21" s="15" customFormat="1" x14ac:dyDescent="0.25">
      <c r="B473" s="72" t="s">
        <v>3380</v>
      </c>
      <c r="C473" s="73"/>
      <c r="D473" s="73"/>
      <c r="E473" s="73"/>
      <c r="F473" s="73"/>
      <c r="G473" s="73"/>
      <c r="H473" s="73"/>
      <c r="I473" s="73"/>
      <c r="J473" s="73"/>
      <c r="K473" s="73"/>
      <c r="L473" s="73"/>
      <c r="M473" s="73"/>
      <c r="N473" s="73"/>
      <c r="O473" s="73"/>
      <c r="P473" s="73"/>
      <c r="Q473" s="73"/>
      <c r="R473" s="73"/>
      <c r="S473" s="73"/>
      <c r="T473" s="73"/>
      <c r="U473" s="74"/>
    </row>
    <row r="474" spans="2:21" s="15" customFormat="1" x14ac:dyDescent="0.25">
      <c r="B474" s="72" t="s">
        <v>3356</v>
      </c>
      <c r="C474" s="73"/>
      <c r="D474" s="73"/>
      <c r="E474" s="73"/>
      <c r="F474" s="73"/>
      <c r="G474" s="73"/>
      <c r="H474" s="73"/>
      <c r="I474" s="73"/>
      <c r="J474" s="73"/>
      <c r="K474" s="73"/>
      <c r="L474" s="73"/>
      <c r="M474" s="73"/>
      <c r="N474" s="73"/>
      <c r="O474" s="73"/>
      <c r="P474" s="73"/>
      <c r="Q474" s="73"/>
      <c r="R474" s="73"/>
      <c r="S474" s="73"/>
      <c r="T474" s="73"/>
      <c r="U474" s="74"/>
    </row>
    <row r="475" spans="2:21" s="15" customFormat="1" x14ac:dyDescent="0.25">
      <c r="B475" s="72" t="s">
        <v>3262</v>
      </c>
      <c r="C475" s="73"/>
      <c r="D475" s="73"/>
      <c r="E475" s="73"/>
      <c r="F475" s="73"/>
      <c r="G475" s="73"/>
      <c r="H475" s="73"/>
      <c r="I475" s="73"/>
      <c r="J475" s="73"/>
      <c r="K475" s="73"/>
      <c r="L475" s="73"/>
      <c r="M475" s="73"/>
      <c r="N475" s="73"/>
      <c r="O475" s="73"/>
      <c r="P475" s="73"/>
      <c r="Q475" s="73"/>
      <c r="R475" s="73"/>
      <c r="S475" s="73"/>
      <c r="T475" s="73"/>
      <c r="U475" s="74"/>
    </row>
    <row r="476" spans="2:21" s="15" customFormat="1" x14ac:dyDescent="0.25">
      <c r="B476" s="72" t="s">
        <v>3134</v>
      </c>
      <c r="C476" s="73"/>
      <c r="D476" s="73"/>
      <c r="E476" s="73"/>
      <c r="F476" s="73"/>
      <c r="G476" s="73"/>
      <c r="H476" s="73"/>
      <c r="I476" s="73"/>
      <c r="J476" s="73"/>
      <c r="K476" s="73"/>
      <c r="L476" s="73"/>
      <c r="M476" s="73"/>
      <c r="N476" s="73"/>
      <c r="O476" s="73"/>
      <c r="P476" s="73"/>
      <c r="Q476" s="73"/>
      <c r="R476" s="73"/>
      <c r="S476" s="73"/>
      <c r="T476" s="73"/>
      <c r="U476" s="74"/>
    </row>
    <row r="477" spans="2:21" s="15" customFormat="1" x14ac:dyDescent="0.25">
      <c r="B477" s="72" t="s">
        <v>3135</v>
      </c>
      <c r="C477" s="73"/>
      <c r="D477" s="73"/>
      <c r="E477" s="73"/>
      <c r="F477" s="73"/>
      <c r="G477" s="73"/>
      <c r="H477" s="73"/>
      <c r="I477" s="73"/>
      <c r="J477" s="73"/>
      <c r="K477" s="73"/>
      <c r="L477" s="73"/>
      <c r="M477" s="73"/>
      <c r="N477" s="73"/>
      <c r="O477" s="73"/>
      <c r="P477" s="73"/>
      <c r="Q477" s="73"/>
      <c r="R477" s="73"/>
      <c r="S477" s="73"/>
      <c r="T477" s="73"/>
      <c r="U477" s="74"/>
    </row>
    <row r="478" spans="2:21" s="15" customFormat="1" x14ac:dyDescent="0.25">
      <c r="B478" s="72" t="s">
        <v>3136</v>
      </c>
      <c r="C478" s="73"/>
      <c r="D478" s="73"/>
      <c r="E478" s="73"/>
      <c r="F478" s="73"/>
      <c r="G478" s="73"/>
      <c r="H478" s="73"/>
      <c r="I478" s="73"/>
      <c r="J478" s="73"/>
      <c r="K478" s="73"/>
      <c r="L478" s="73"/>
      <c r="M478" s="73"/>
      <c r="N478" s="73"/>
      <c r="O478" s="73"/>
      <c r="P478" s="73"/>
      <c r="Q478" s="73"/>
      <c r="R478" s="73"/>
      <c r="S478" s="73"/>
      <c r="T478" s="73"/>
      <c r="U478" s="74"/>
    </row>
    <row r="479" spans="2:21" s="15" customFormat="1" x14ac:dyDescent="0.25">
      <c r="B479" s="72" t="s">
        <v>3253</v>
      </c>
      <c r="C479" s="73"/>
      <c r="D479" s="73"/>
      <c r="E479" s="73"/>
      <c r="F479" s="73"/>
      <c r="G479" s="73"/>
      <c r="H479" s="73"/>
      <c r="I479" s="73"/>
      <c r="J479" s="73"/>
      <c r="K479" s="73"/>
      <c r="L479" s="73"/>
      <c r="M479" s="73"/>
      <c r="N479" s="73"/>
      <c r="O479" s="73"/>
      <c r="P479" s="73"/>
      <c r="Q479" s="73"/>
      <c r="R479" s="73"/>
      <c r="S479" s="73"/>
      <c r="T479" s="73"/>
      <c r="U479" s="74"/>
    </row>
    <row r="480" spans="2:21" s="15" customFormat="1" x14ac:dyDescent="0.25">
      <c r="B480" s="72" t="s">
        <v>3138</v>
      </c>
      <c r="C480" s="73"/>
      <c r="D480" s="73"/>
      <c r="E480" s="73"/>
      <c r="F480" s="73"/>
      <c r="G480" s="73"/>
      <c r="H480" s="73"/>
      <c r="I480" s="73"/>
      <c r="J480" s="73"/>
      <c r="K480" s="73"/>
      <c r="L480" s="73"/>
      <c r="M480" s="73"/>
      <c r="N480" s="73"/>
      <c r="O480" s="73"/>
      <c r="P480" s="73"/>
      <c r="Q480" s="73"/>
      <c r="R480" s="73"/>
      <c r="S480" s="73"/>
      <c r="T480" s="73"/>
      <c r="U480" s="74"/>
    </row>
    <row r="481" spans="2:21" s="15" customFormat="1" x14ac:dyDescent="0.25">
      <c r="B481" s="72" t="s">
        <v>3139</v>
      </c>
      <c r="C481" s="73"/>
      <c r="D481" s="73"/>
      <c r="E481" s="73"/>
      <c r="F481" s="73"/>
      <c r="G481" s="73"/>
      <c r="H481" s="73"/>
      <c r="I481" s="73"/>
      <c r="J481" s="73"/>
      <c r="K481" s="73"/>
      <c r="L481" s="73"/>
      <c r="M481" s="73"/>
      <c r="N481" s="73"/>
      <c r="O481" s="73"/>
      <c r="P481" s="73"/>
      <c r="Q481" s="73"/>
      <c r="R481" s="73"/>
      <c r="S481" s="73"/>
      <c r="T481" s="73"/>
      <c r="U481" s="74"/>
    </row>
    <row r="482" spans="2:21" s="15" customFormat="1" x14ac:dyDescent="0.25">
      <c r="B482" s="72" t="s">
        <v>3254</v>
      </c>
      <c r="C482" s="73"/>
      <c r="D482" s="73"/>
      <c r="E482" s="73"/>
      <c r="F482" s="73"/>
      <c r="G482" s="73"/>
      <c r="H482" s="73"/>
      <c r="I482" s="73"/>
      <c r="J482" s="73"/>
      <c r="K482" s="73"/>
      <c r="L482" s="73"/>
      <c r="M482" s="73"/>
      <c r="N482" s="73"/>
      <c r="O482" s="73"/>
      <c r="P482" s="73"/>
      <c r="Q482" s="73"/>
      <c r="R482" s="73"/>
      <c r="S482" s="73"/>
      <c r="T482" s="73"/>
      <c r="U482" s="74"/>
    </row>
    <row r="483" spans="2:21" s="15" customFormat="1" x14ac:dyDescent="0.25">
      <c r="B483" s="72" t="s">
        <v>3381</v>
      </c>
      <c r="C483" s="73"/>
      <c r="D483" s="73"/>
      <c r="E483" s="73"/>
      <c r="F483" s="73"/>
      <c r="G483" s="73"/>
      <c r="H483" s="73"/>
      <c r="I483" s="73"/>
      <c r="J483" s="73"/>
      <c r="K483" s="73"/>
      <c r="L483" s="73"/>
      <c r="M483" s="73"/>
      <c r="N483" s="73"/>
      <c r="O483" s="73"/>
      <c r="P483" s="73"/>
      <c r="Q483" s="73"/>
      <c r="R483" s="73"/>
      <c r="S483" s="73"/>
      <c r="T483" s="73"/>
      <c r="U483" s="74"/>
    </row>
    <row r="484" spans="2:21" s="15" customFormat="1" x14ac:dyDescent="0.25">
      <c r="B484" s="72" t="s">
        <v>3382</v>
      </c>
      <c r="C484" s="73"/>
      <c r="D484" s="73"/>
      <c r="E484" s="73"/>
      <c r="F484" s="73"/>
      <c r="G484" s="73"/>
      <c r="H484" s="73"/>
      <c r="I484" s="73"/>
      <c r="J484" s="73"/>
      <c r="K484" s="73"/>
      <c r="L484" s="73"/>
      <c r="M484" s="73"/>
      <c r="N484" s="73"/>
      <c r="O484" s="73"/>
      <c r="P484" s="73"/>
      <c r="Q484" s="73"/>
      <c r="R484" s="73"/>
      <c r="S484" s="73"/>
      <c r="T484" s="73"/>
      <c r="U484" s="74"/>
    </row>
    <row r="485" spans="2:21" s="15" customFormat="1" x14ac:dyDescent="0.25">
      <c r="B485" s="72" t="s">
        <v>3146</v>
      </c>
      <c r="C485" s="73"/>
      <c r="D485" s="73"/>
      <c r="E485" s="73"/>
      <c r="F485" s="73"/>
      <c r="G485" s="73"/>
      <c r="H485" s="73"/>
      <c r="I485" s="73"/>
      <c r="J485" s="73"/>
      <c r="K485" s="73"/>
      <c r="L485" s="73"/>
      <c r="M485" s="73"/>
      <c r="N485" s="73"/>
      <c r="O485" s="73"/>
      <c r="P485" s="73"/>
      <c r="Q485" s="73"/>
      <c r="R485" s="73"/>
      <c r="S485" s="73"/>
      <c r="T485" s="73"/>
      <c r="U485" s="74"/>
    </row>
    <row r="486" spans="2:21" s="15" customFormat="1" x14ac:dyDescent="0.25">
      <c r="B486" s="72" t="s">
        <v>3125</v>
      </c>
      <c r="C486" s="73"/>
      <c r="D486" s="73"/>
      <c r="E486" s="73"/>
      <c r="F486" s="73"/>
      <c r="G486" s="73"/>
      <c r="H486" s="73"/>
      <c r="I486" s="73"/>
      <c r="J486" s="73"/>
      <c r="K486" s="73"/>
      <c r="L486" s="73"/>
      <c r="M486" s="73"/>
      <c r="N486" s="73"/>
      <c r="O486" s="73"/>
      <c r="P486" s="73"/>
      <c r="Q486" s="73"/>
      <c r="R486" s="73"/>
      <c r="S486" s="73"/>
      <c r="T486" s="73"/>
      <c r="U486" s="74"/>
    </row>
    <row r="487" spans="2:21" s="15" customFormat="1" x14ac:dyDescent="0.25">
      <c r="B487" s="72" t="s">
        <v>3147</v>
      </c>
      <c r="C487" s="73"/>
      <c r="D487" s="73"/>
      <c r="E487" s="73"/>
      <c r="F487" s="73"/>
      <c r="G487" s="73"/>
      <c r="H487" s="73"/>
      <c r="I487" s="73"/>
      <c r="J487" s="73"/>
      <c r="K487" s="73"/>
      <c r="L487" s="73"/>
      <c r="M487" s="73"/>
      <c r="N487" s="73"/>
      <c r="O487" s="73"/>
      <c r="P487" s="73"/>
      <c r="Q487" s="73"/>
      <c r="R487" s="73"/>
      <c r="S487" s="73"/>
      <c r="T487" s="73"/>
      <c r="U487" s="74"/>
    </row>
    <row r="488" spans="2:21" s="15" customFormat="1" x14ac:dyDescent="0.25">
      <c r="B488" s="72" t="s">
        <v>3127</v>
      </c>
      <c r="C488" s="73"/>
      <c r="D488" s="73"/>
      <c r="E488" s="73"/>
      <c r="F488" s="73"/>
      <c r="G488" s="73"/>
      <c r="H488" s="73"/>
      <c r="I488" s="73"/>
      <c r="J488" s="73"/>
      <c r="K488" s="73"/>
      <c r="L488" s="73"/>
      <c r="M488" s="73"/>
      <c r="N488" s="73"/>
      <c r="O488" s="73"/>
      <c r="P488" s="73"/>
      <c r="Q488" s="73"/>
      <c r="R488" s="73"/>
      <c r="S488" s="73"/>
      <c r="T488" s="73"/>
      <c r="U488" s="74"/>
    </row>
    <row r="489" spans="2:21" s="15" customFormat="1" x14ac:dyDescent="0.25">
      <c r="B489" s="72" t="s">
        <v>3383</v>
      </c>
      <c r="C489" s="73"/>
      <c r="D489" s="73"/>
      <c r="E489" s="73"/>
      <c r="F489" s="73"/>
      <c r="G489" s="73"/>
      <c r="H489" s="73"/>
      <c r="I489" s="73"/>
      <c r="J489" s="73"/>
      <c r="K489" s="73"/>
      <c r="L489" s="73"/>
      <c r="M489" s="73"/>
      <c r="N489" s="73"/>
      <c r="O489" s="73"/>
      <c r="P489" s="73"/>
      <c r="Q489" s="73"/>
      <c r="R489" s="73"/>
      <c r="S489" s="73"/>
      <c r="T489" s="73"/>
      <c r="U489" s="74"/>
    </row>
    <row r="490" spans="2:21" s="15" customFormat="1" x14ac:dyDescent="0.25">
      <c r="B490" s="72" t="s">
        <v>3380</v>
      </c>
      <c r="C490" s="73"/>
      <c r="D490" s="73"/>
      <c r="E490" s="73"/>
      <c r="F490" s="73"/>
      <c r="G490" s="73"/>
      <c r="H490" s="73"/>
      <c r="I490" s="73"/>
      <c r="J490" s="73"/>
      <c r="K490" s="73"/>
      <c r="L490" s="73"/>
      <c r="M490" s="73"/>
      <c r="N490" s="73"/>
      <c r="O490" s="73"/>
      <c r="P490" s="73"/>
      <c r="Q490" s="73"/>
      <c r="R490" s="73"/>
      <c r="S490" s="73"/>
      <c r="T490" s="73"/>
      <c r="U490" s="74"/>
    </row>
    <row r="491" spans="2:21" s="15" customFormat="1" x14ac:dyDescent="0.25">
      <c r="B491" s="72" t="s">
        <v>3356</v>
      </c>
      <c r="C491" s="73"/>
      <c r="D491" s="73"/>
      <c r="E491" s="73"/>
      <c r="F491" s="73"/>
      <c r="G491" s="73"/>
      <c r="H491" s="73"/>
      <c r="I491" s="73"/>
      <c r="J491" s="73"/>
      <c r="K491" s="73"/>
      <c r="L491" s="73"/>
      <c r="M491" s="73"/>
      <c r="N491" s="73"/>
      <c r="O491" s="73"/>
      <c r="P491" s="73"/>
      <c r="Q491" s="73"/>
      <c r="R491" s="73"/>
      <c r="S491" s="73"/>
      <c r="T491" s="73"/>
      <c r="U491" s="74"/>
    </row>
    <row r="492" spans="2:21" s="15" customFormat="1" x14ac:dyDescent="0.25">
      <c r="B492" s="72" t="s">
        <v>3384</v>
      </c>
      <c r="C492" s="73"/>
      <c r="D492" s="73"/>
      <c r="E492" s="73"/>
      <c r="F492" s="73"/>
      <c r="G492" s="73"/>
      <c r="H492" s="73"/>
      <c r="I492" s="73"/>
      <c r="J492" s="73"/>
      <c r="K492" s="73"/>
      <c r="L492" s="73"/>
      <c r="M492" s="73"/>
      <c r="N492" s="73"/>
      <c r="O492" s="73"/>
      <c r="P492" s="73"/>
      <c r="Q492" s="73"/>
      <c r="R492" s="73"/>
      <c r="S492" s="73"/>
      <c r="T492" s="73"/>
      <c r="U492" s="74"/>
    </row>
    <row r="493" spans="2:21" s="15" customFormat="1" x14ac:dyDescent="0.25">
      <c r="B493" s="72" t="s">
        <v>3134</v>
      </c>
      <c r="C493" s="73"/>
      <c r="D493" s="73"/>
      <c r="E493" s="73"/>
      <c r="F493" s="73"/>
      <c r="G493" s="73"/>
      <c r="H493" s="73"/>
      <c r="I493" s="73"/>
      <c r="J493" s="73"/>
      <c r="K493" s="73"/>
      <c r="L493" s="73"/>
      <c r="M493" s="73"/>
      <c r="N493" s="73"/>
      <c r="O493" s="73"/>
      <c r="P493" s="73"/>
      <c r="Q493" s="73"/>
      <c r="R493" s="73"/>
      <c r="S493" s="73"/>
      <c r="T493" s="73"/>
      <c r="U493" s="74"/>
    </row>
    <row r="494" spans="2:21" s="15" customFormat="1" x14ac:dyDescent="0.25">
      <c r="B494" s="72" t="s">
        <v>3135</v>
      </c>
      <c r="C494" s="73"/>
      <c r="D494" s="73"/>
      <c r="E494" s="73"/>
      <c r="F494" s="73"/>
      <c r="G494" s="73"/>
      <c r="H494" s="73"/>
      <c r="I494" s="73"/>
      <c r="J494" s="73"/>
      <c r="K494" s="73"/>
      <c r="L494" s="73"/>
      <c r="M494" s="73"/>
      <c r="N494" s="73"/>
      <c r="O494" s="73"/>
      <c r="P494" s="73"/>
      <c r="Q494" s="73"/>
      <c r="R494" s="73"/>
      <c r="S494" s="73"/>
      <c r="T494" s="73"/>
      <c r="U494" s="74"/>
    </row>
    <row r="495" spans="2:21" s="15" customFormat="1" x14ac:dyDescent="0.25">
      <c r="B495" s="72" t="s">
        <v>3136</v>
      </c>
      <c r="C495" s="73"/>
      <c r="D495" s="73"/>
      <c r="E495" s="73"/>
      <c r="F495" s="73"/>
      <c r="G495" s="73"/>
      <c r="H495" s="73"/>
      <c r="I495" s="73"/>
      <c r="J495" s="73"/>
      <c r="K495" s="73"/>
      <c r="L495" s="73"/>
      <c r="M495" s="73"/>
      <c r="N495" s="73"/>
      <c r="O495" s="73"/>
      <c r="P495" s="73"/>
      <c r="Q495" s="73"/>
      <c r="R495" s="73"/>
      <c r="S495" s="73"/>
      <c r="T495" s="73"/>
      <c r="U495" s="74"/>
    </row>
    <row r="496" spans="2:21" s="15" customFormat="1" x14ac:dyDescent="0.25">
      <c r="B496" s="72" t="s">
        <v>3253</v>
      </c>
      <c r="C496" s="73"/>
      <c r="D496" s="73"/>
      <c r="E496" s="73"/>
      <c r="F496" s="73"/>
      <c r="G496" s="73"/>
      <c r="H496" s="73"/>
      <c r="I496" s="73"/>
      <c r="J496" s="73"/>
      <c r="K496" s="73"/>
      <c r="L496" s="73"/>
      <c r="M496" s="73"/>
      <c r="N496" s="73"/>
      <c r="O496" s="73"/>
      <c r="P496" s="73"/>
      <c r="Q496" s="73"/>
      <c r="R496" s="73"/>
      <c r="S496" s="73"/>
      <c r="T496" s="73"/>
      <c r="U496" s="74"/>
    </row>
    <row r="497" spans="2:21" s="15" customFormat="1" x14ac:dyDescent="0.25">
      <c r="B497" s="72" t="s">
        <v>3138</v>
      </c>
      <c r="C497" s="73"/>
      <c r="D497" s="73"/>
      <c r="E497" s="73"/>
      <c r="F497" s="73"/>
      <c r="G497" s="73"/>
      <c r="H497" s="73"/>
      <c r="I497" s="73"/>
      <c r="J497" s="73"/>
      <c r="K497" s="73"/>
      <c r="L497" s="73"/>
      <c r="M497" s="73"/>
      <c r="N497" s="73"/>
      <c r="O497" s="73"/>
      <c r="P497" s="73"/>
      <c r="Q497" s="73"/>
      <c r="R497" s="73"/>
      <c r="S497" s="73"/>
      <c r="T497" s="73"/>
      <c r="U497" s="74"/>
    </row>
    <row r="498" spans="2:21" s="15" customFormat="1" x14ac:dyDescent="0.25">
      <c r="B498" s="72" t="s">
        <v>3139</v>
      </c>
      <c r="C498" s="73"/>
      <c r="D498" s="73"/>
      <c r="E498" s="73"/>
      <c r="F498" s="73"/>
      <c r="G498" s="73"/>
      <c r="H498" s="73"/>
      <c r="I498" s="73"/>
      <c r="J498" s="73"/>
      <c r="K498" s="73"/>
      <c r="L498" s="73"/>
      <c r="M498" s="73"/>
      <c r="N498" s="73"/>
      <c r="O498" s="73"/>
      <c r="P498" s="73"/>
      <c r="Q498" s="73"/>
      <c r="R498" s="73"/>
      <c r="S498" s="73"/>
      <c r="T498" s="73"/>
      <c r="U498" s="74"/>
    </row>
    <row r="499" spans="2:21" s="15" customFormat="1" x14ac:dyDescent="0.25">
      <c r="B499" s="72" t="s">
        <v>3254</v>
      </c>
      <c r="C499" s="73"/>
      <c r="D499" s="73"/>
      <c r="E499" s="73"/>
      <c r="F499" s="73"/>
      <c r="G499" s="73"/>
      <c r="H499" s="73"/>
      <c r="I499" s="73"/>
      <c r="J499" s="73"/>
      <c r="K499" s="73"/>
      <c r="L499" s="73"/>
      <c r="M499" s="73"/>
      <c r="N499" s="73"/>
      <c r="O499" s="73"/>
      <c r="P499" s="73"/>
      <c r="Q499" s="73"/>
      <c r="R499" s="73"/>
      <c r="S499" s="73"/>
      <c r="T499" s="73"/>
      <c r="U499" s="74"/>
    </row>
    <row r="500" spans="2:21" s="15" customFormat="1" x14ac:dyDescent="0.25">
      <c r="B500" s="72" t="s">
        <v>3381</v>
      </c>
      <c r="C500" s="73"/>
      <c r="D500" s="73"/>
      <c r="E500" s="73"/>
      <c r="F500" s="73"/>
      <c r="G500" s="73"/>
      <c r="H500" s="73"/>
      <c r="I500" s="73"/>
      <c r="J500" s="73"/>
      <c r="K500" s="73"/>
      <c r="L500" s="73"/>
      <c r="M500" s="73"/>
      <c r="N500" s="73"/>
      <c r="O500" s="73"/>
      <c r="P500" s="73"/>
      <c r="Q500" s="73"/>
      <c r="R500" s="73"/>
      <c r="S500" s="73"/>
      <c r="T500" s="73"/>
      <c r="U500" s="74"/>
    </row>
    <row r="501" spans="2:21" s="15" customFormat="1" x14ac:dyDescent="0.25">
      <c r="B501" s="72" t="s">
        <v>3385</v>
      </c>
      <c r="C501" s="73"/>
      <c r="D501" s="73"/>
      <c r="E501" s="73"/>
      <c r="F501" s="73"/>
      <c r="G501" s="73"/>
      <c r="H501" s="73"/>
      <c r="I501" s="73"/>
      <c r="J501" s="73"/>
      <c r="K501" s="73"/>
      <c r="L501" s="73"/>
      <c r="M501" s="73"/>
      <c r="N501" s="73"/>
      <c r="O501" s="73"/>
      <c r="P501" s="73"/>
      <c r="Q501" s="73"/>
      <c r="R501" s="73"/>
      <c r="S501" s="73"/>
      <c r="T501" s="73"/>
      <c r="U501" s="74"/>
    </row>
    <row r="502" spans="2:21" s="15" customFormat="1" x14ac:dyDescent="0.25">
      <c r="B502" s="72" t="s">
        <v>3151</v>
      </c>
      <c r="C502" s="73"/>
      <c r="D502" s="73"/>
      <c r="E502" s="73"/>
      <c r="F502" s="73"/>
      <c r="G502" s="73"/>
      <c r="H502" s="73"/>
      <c r="I502" s="73"/>
      <c r="J502" s="73"/>
      <c r="K502" s="73"/>
      <c r="L502" s="73"/>
      <c r="M502" s="73"/>
      <c r="N502" s="73"/>
      <c r="O502" s="73"/>
      <c r="P502" s="73"/>
      <c r="Q502" s="73"/>
      <c r="R502" s="73"/>
      <c r="S502" s="73"/>
      <c r="T502" s="73"/>
      <c r="U502" s="74"/>
    </row>
    <row r="503" spans="2:21" s="15" customFormat="1" x14ac:dyDescent="0.25">
      <c r="B503" s="72" t="s">
        <v>3152</v>
      </c>
      <c r="C503" s="73"/>
      <c r="D503" s="73"/>
      <c r="E503" s="73"/>
      <c r="F503" s="73"/>
      <c r="G503" s="73"/>
      <c r="H503" s="73"/>
      <c r="I503" s="73"/>
      <c r="J503" s="73"/>
      <c r="K503" s="73"/>
      <c r="L503" s="73"/>
      <c r="M503" s="73"/>
      <c r="N503" s="73"/>
      <c r="O503" s="73"/>
      <c r="P503" s="73"/>
      <c r="Q503" s="73"/>
      <c r="R503" s="73"/>
      <c r="S503" s="73"/>
      <c r="T503" s="73"/>
      <c r="U503" s="74"/>
    </row>
    <row r="504" spans="2:21" s="15" customFormat="1" x14ac:dyDescent="0.25">
      <c r="B504" s="72" t="s">
        <v>3058</v>
      </c>
      <c r="C504" s="73"/>
      <c r="D504" s="73"/>
      <c r="E504" s="73"/>
      <c r="F504" s="73"/>
      <c r="G504" s="73"/>
      <c r="H504" s="73"/>
      <c r="I504" s="73"/>
      <c r="J504" s="73"/>
      <c r="K504" s="73"/>
      <c r="L504" s="73"/>
      <c r="M504" s="73"/>
      <c r="N504" s="73"/>
      <c r="O504" s="73"/>
      <c r="P504" s="73"/>
      <c r="Q504" s="73"/>
      <c r="R504" s="73"/>
      <c r="S504" s="73"/>
      <c r="T504" s="73"/>
      <c r="U504" s="74"/>
    </row>
    <row r="505" spans="2:21" s="15" customFormat="1" x14ac:dyDescent="0.25">
      <c r="B505" s="72" t="s">
        <v>3267</v>
      </c>
      <c r="C505" s="73"/>
      <c r="D505" s="73"/>
      <c r="E505" s="73"/>
      <c r="F505" s="73"/>
      <c r="G505" s="73"/>
      <c r="H505" s="73"/>
      <c r="I505" s="73"/>
      <c r="J505" s="73"/>
      <c r="K505" s="73"/>
      <c r="L505" s="73"/>
      <c r="M505" s="73"/>
      <c r="N505" s="73"/>
      <c r="O505" s="73"/>
      <c r="P505" s="73"/>
      <c r="Q505" s="73"/>
      <c r="R505" s="73"/>
      <c r="S505" s="73"/>
      <c r="T505" s="73"/>
      <c r="U505" s="74"/>
    </row>
    <row r="506" spans="2:21" s="15" customFormat="1" x14ac:dyDescent="0.25">
      <c r="B506" s="72" t="s">
        <v>3268</v>
      </c>
      <c r="C506" s="73"/>
      <c r="D506" s="73"/>
      <c r="E506" s="73"/>
      <c r="F506" s="73"/>
      <c r="G506" s="73"/>
      <c r="H506" s="73"/>
      <c r="I506" s="73"/>
      <c r="J506" s="73"/>
      <c r="K506" s="73"/>
      <c r="L506" s="73"/>
      <c r="M506" s="73"/>
      <c r="N506" s="73"/>
      <c r="O506" s="73"/>
      <c r="P506" s="73"/>
      <c r="Q506" s="73"/>
      <c r="R506" s="73"/>
      <c r="S506" s="73"/>
      <c r="T506" s="73"/>
      <c r="U506" s="74"/>
    </row>
    <row r="507" spans="2:21" s="15" customFormat="1" x14ac:dyDescent="0.25">
      <c r="B507" s="72" t="s">
        <v>3269</v>
      </c>
      <c r="C507" s="73"/>
      <c r="D507" s="73"/>
      <c r="E507" s="73"/>
      <c r="F507" s="73"/>
      <c r="G507" s="73"/>
      <c r="H507" s="73"/>
      <c r="I507" s="73"/>
      <c r="J507" s="73"/>
      <c r="K507" s="73"/>
      <c r="L507" s="73"/>
      <c r="M507" s="73"/>
      <c r="N507" s="73"/>
      <c r="O507" s="73"/>
      <c r="P507" s="73"/>
      <c r="Q507" s="73"/>
      <c r="R507" s="73"/>
      <c r="S507" s="73"/>
      <c r="T507" s="73"/>
      <c r="U507" s="74"/>
    </row>
    <row r="508" spans="2:21" s="15" customFormat="1" x14ac:dyDescent="0.25">
      <c r="B508" s="72" t="s">
        <v>3270</v>
      </c>
      <c r="C508" s="73"/>
      <c r="D508" s="73"/>
      <c r="E508" s="73"/>
      <c r="F508" s="73"/>
      <c r="G508" s="73"/>
      <c r="H508" s="73"/>
      <c r="I508" s="73"/>
      <c r="J508" s="73"/>
      <c r="K508" s="73"/>
      <c r="L508" s="73"/>
      <c r="M508" s="73"/>
      <c r="N508" s="73"/>
      <c r="O508" s="73"/>
      <c r="P508" s="73"/>
      <c r="Q508" s="73"/>
      <c r="R508" s="73"/>
      <c r="S508" s="73"/>
      <c r="T508" s="73"/>
      <c r="U508" s="74"/>
    </row>
    <row r="509" spans="2:21" s="15" customFormat="1" x14ac:dyDescent="0.25">
      <c r="B509" s="72" t="s">
        <v>3271</v>
      </c>
      <c r="C509" s="73"/>
      <c r="D509" s="73"/>
      <c r="E509" s="73"/>
      <c r="F509" s="73"/>
      <c r="G509" s="73"/>
      <c r="H509" s="73"/>
      <c r="I509" s="73"/>
      <c r="J509" s="73"/>
      <c r="K509" s="73"/>
      <c r="L509" s="73"/>
      <c r="M509" s="73"/>
      <c r="N509" s="73"/>
      <c r="O509" s="73"/>
      <c r="P509" s="73"/>
      <c r="Q509" s="73"/>
      <c r="R509" s="73"/>
      <c r="S509" s="73"/>
      <c r="T509" s="73"/>
      <c r="U509" s="74"/>
    </row>
    <row r="510" spans="2:21" s="15" customFormat="1" x14ac:dyDescent="0.25">
      <c r="B510" s="72" t="s">
        <v>3386</v>
      </c>
      <c r="C510" s="73"/>
      <c r="D510" s="73"/>
      <c r="E510" s="73"/>
      <c r="F510" s="73"/>
      <c r="G510" s="73"/>
      <c r="H510" s="73"/>
      <c r="I510" s="73"/>
      <c r="J510" s="73"/>
      <c r="K510" s="73"/>
      <c r="L510" s="73"/>
      <c r="M510" s="73"/>
      <c r="N510" s="73"/>
      <c r="O510" s="73"/>
      <c r="P510" s="73"/>
      <c r="Q510" s="73"/>
      <c r="R510" s="73"/>
      <c r="S510" s="73"/>
      <c r="T510" s="73"/>
      <c r="U510" s="74"/>
    </row>
    <row r="511" spans="2:21" s="15" customFormat="1" x14ac:dyDescent="0.25">
      <c r="B511" s="72" t="s">
        <v>3273</v>
      </c>
      <c r="C511" s="73"/>
      <c r="D511" s="73"/>
      <c r="E511" s="73"/>
      <c r="F511" s="73"/>
      <c r="G511" s="73"/>
      <c r="H511" s="73"/>
      <c r="I511" s="73"/>
      <c r="J511" s="73"/>
      <c r="K511" s="73"/>
      <c r="L511" s="73"/>
      <c r="M511" s="73"/>
      <c r="N511" s="73"/>
      <c r="O511" s="73"/>
      <c r="P511" s="73"/>
      <c r="Q511" s="73"/>
      <c r="R511" s="73"/>
      <c r="S511" s="73"/>
      <c r="T511" s="73"/>
      <c r="U511" s="74"/>
    </row>
    <row r="512" spans="2:21" s="15" customFormat="1" x14ac:dyDescent="0.25">
      <c r="B512" s="72" t="s">
        <v>3274</v>
      </c>
      <c r="C512" s="73"/>
      <c r="D512" s="73"/>
      <c r="E512" s="73"/>
      <c r="F512" s="73"/>
      <c r="G512" s="73"/>
      <c r="H512" s="73"/>
      <c r="I512" s="73"/>
      <c r="J512" s="73"/>
      <c r="K512" s="73"/>
      <c r="L512" s="73"/>
      <c r="M512" s="73"/>
      <c r="N512" s="73"/>
      <c r="O512" s="73"/>
      <c r="P512" s="73"/>
      <c r="Q512" s="73"/>
      <c r="R512" s="73"/>
      <c r="S512" s="73"/>
      <c r="T512" s="73"/>
      <c r="U512" s="74"/>
    </row>
    <row r="513" spans="2:21" s="15" customFormat="1" x14ac:dyDescent="0.25">
      <c r="B513" s="72" t="s">
        <v>3275</v>
      </c>
      <c r="C513" s="73"/>
      <c r="D513" s="73"/>
      <c r="E513" s="73"/>
      <c r="F513" s="73"/>
      <c r="G513" s="73"/>
      <c r="H513" s="73"/>
      <c r="I513" s="73"/>
      <c r="J513" s="73"/>
      <c r="K513" s="73"/>
      <c r="L513" s="73"/>
      <c r="M513" s="73"/>
      <c r="N513" s="73"/>
      <c r="O513" s="73"/>
      <c r="P513" s="73"/>
      <c r="Q513" s="73"/>
      <c r="R513" s="73"/>
      <c r="S513" s="73"/>
      <c r="T513" s="73"/>
      <c r="U513" s="74"/>
    </row>
    <row r="514" spans="2:21" s="15" customFormat="1" x14ac:dyDescent="0.25">
      <c r="B514" s="72" t="s">
        <v>3387</v>
      </c>
      <c r="C514" s="73"/>
      <c r="D514" s="73"/>
      <c r="E514" s="73"/>
      <c r="F514" s="73"/>
      <c r="G514" s="73"/>
      <c r="H514" s="73"/>
      <c r="I514" s="73"/>
      <c r="J514" s="73"/>
      <c r="K514" s="73"/>
      <c r="L514" s="73"/>
      <c r="M514" s="73"/>
      <c r="N514" s="73"/>
      <c r="O514" s="73"/>
      <c r="P514" s="73"/>
      <c r="Q514" s="73"/>
      <c r="R514" s="73"/>
      <c r="S514" s="73"/>
      <c r="T514" s="73"/>
      <c r="U514" s="74"/>
    </row>
    <row r="515" spans="2:21" s="15" customFormat="1" x14ac:dyDescent="0.25">
      <c r="B515" s="72" t="s">
        <v>3388</v>
      </c>
      <c r="C515" s="73"/>
      <c r="D515" s="73"/>
      <c r="E515" s="73"/>
      <c r="F515" s="73"/>
      <c r="G515" s="73"/>
      <c r="H515" s="73"/>
      <c r="I515" s="73"/>
      <c r="J515" s="73"/>
      <c r="K515" s="73"/>
      <c r="L515" s="73"/>
      <c r="M515" s="73"/>
      <c r="N515" s="73"/>
      <c r="O515" s="73"/>
      <c r="P515" s="73"/>
      <c r="Q515" s="73"/>
      <c r="R515" s="73"/>
      <c r="S515" s="73"/>
      <c r="T515" s="73"/>
      <c r="U515" s="74"/>
    </row>
    <row r="516" spans="2:21" s="15" customFormat="1" x14ac:dyDescent="0.25">
      <c r="B516" s="72" t="s">
        <v>3389</v>
      </c>
      <c r="C516" s="73"/>
      <c r="D516" s="73"/>
      <c r="E516" s="73"/>
      <c r="F516" s="73"/>
      <c r="G516" s="73"/>
      <c r="H516" s="73"/>
      <c r="I516" s="73"/>
      <c r="J516" s="73"/>
      <c r="K516" s="73"/>
      <c r="L516" s="73"/>
      <c r="M516" s="73"/>
      <c r="N516" s="73"/>
      <c r="O516" s="73"/>
      <c r="P516" s="73"/>
      <c r="Q516" s="73"/>
      <c r="R516" s="73"/>
      <c r="S516" s="73"/>
      <c r="T516" s="73"/>
      <c r="U516" s="74"/>
    </row>
    <row r="517" spans="2:21" s="15" customFormat="1" x14ac:dyDescent="0.25">
      <c r="B517" s="72" t="s">
        <v>3279</v>
      </c>
      <c r="C517" s="73"/>
      <c r="D517" s="73"/>
      <c r="E517" s="73"/>
      <c r="F517" s="73"/>
      <c r="G517" s="73"/>
      <c r="H517" s="73"/>
      <c r="I517" s="73"/>
      <c r="J517" s="73"/>
      <c r="K517" s="73"/>
      <c r="L517" s="73"/>
      <c r="M517" s="73"/>
      <c r="N517" s="73"/>
      <c r="O517" s="73"/>
      <c r="P517" s="73"/>
      <c r="Q517" s="73"/>
      <c r="R517" s="73"/>
      <c r="S517" s="73"/>
      <c r="T517" s="73"/>
      <c r="U517" s="74"/>
    </row>
    <row r="518" spans="2:21" s="15" customFormat="1" x14ac:dyDescent="0.25">
      <c r="B518" s="72" t="s">
        <v>3058</v>
      </c>
      <c r="C518" s="73"/>
      <c r="D518" s="73"/>
      <c r="E518" s="73"/>
      <c r="F518" s="73"/>
      <c r="G518" s="73"/>
      <c r="H518" s="73"/>
      <c r="I518" s="73"/>
      <c r="J518" s="73"/>
      <c r="K518" s="73"/>
      <c r="L518" s="73"/>
      <c r="M518" s="73"/>
      <c r="N518" s="73"/>
      <c r="O518" s="73"/>
      <c r="P518" s="73"/>
      <c r="Q518" s="73"/>
      <c r="R518" s="73"/>
      <c r="S518" s="73"/>
      <c r="T518" s="73"/>
      <c r="U518" s="74"/>
    </row>
    <row r="519" spans="2:21" s="15" customFormat="1" x14ac:dyDescent="0.25">
      <c r="B519" s="72" t="s">
        <v>3162</v>
      </c>
      <c r="C519" s="73"/>
      <c r="D519" s="73"/>
      <c r="E519" s="73"/>
      <c r="F519" s="73"/>
      <c r="G519" s="73"/>
      <c r="H519" s="73"/>
      <c r="I519" s="73"/>
      <c r="J519" s="73"/>
      <c r="K519" s="73"/>
      <c r="L519" s="73"/>
      <c r="M519" s="73"/>
      <c r="N519" s="73"/>
      <c r="O519" s="73"/>
      <c r="P519" s="73"/>
      <c r="Q519" s="73"/>
      <c r="R519" s="73"/>
      <c r="S519" s="73"/>
      <c r="T519" s="73"/>
      <c r="U519" s="74"/>
    </row>
    <row r="520" spans="2:21" s="15" customFormat="1" x14ac:dyDescent="0.25">
      <c r="B520" s="72" t="s">
        <v>3085</v>
      </c>
      <c r="C520" s="73"/>
      <c r="D520" s="73"/>
      <c r="E520" s="73"/>
      <c r="F520" s="73"/>
      <c r="G520" s="73"/>
      <c r="H520" s="73"/>
      <c r="I520" s="73"/>
      <c r="J520" s="73"/>
      <c r="K520" s="73"/>
      <c r="L520" s="73"/>
      <c r="M520" s="73"/>
      <c r="N520" s="73"/>
      <c r="O520" s="73"/>
      <c r="P520" s="73"/>
      <c r="Q520" s="73"/>
      <c r="R520" s="73"/>
      <c r="S520" s="73"/>
      <c r="T520" s="73"/>
      <c r="U520" s="74"/>
    </row>
    <row r="521" spans="2:21" s="15" customFormat="1" x14ac:dyDescent="0.25">
      <c r="B521" s="72" t="s">
        <v>3163</v>
      </c>
      <c r="C521" s="73"/>
      <c r="D521" s="73"/>
      <c r="E521" s="73"/>
      <c r="F521" s="73"/>
      <c r="G521" s="73"/>
      <c r="H521" s="73"/>
      <c r="I521" s="73"/>
      <c r="J521" s="73"/>
      <c r="K521" s="73"/>
      <c r="L521" s="73"/>
      <c r="M521" s="73"/>
      <c r="N521" s="73"/>
      <c r="O521" s="73"/>
      <c r="P521" s="73"/>
      <c r="Q521" s="73"/>
      <c r="R521" s="73"/>
      <c r="S521" s="73"/>
      <c r="T521" s="73"/>
      <c r="U521" s="74"/>
    </row>
    <row r="522" spans="2:21" s="15" customFormat="1" x14ac:dyDescent="0.25">
      <c r="B522" s="72" t="s">
        <v>3390</v>
      </c>
      <c r="C522" s="73"/>
      <c r="D522" s="73"/>
      <c r="E522" s="73"/>
      <c r="F522" s="73"/>
      <c r="G522" s="73"/>
      <c r="H522" s="73"/>
      <c r="I522" s="73"/>
      <c r="J522" s="73"/>
      <c r="K522" s="73"/>
      <c r="L522" s="73"/>
      <c r="M522" s="73"/>
      <c r="N522" s="73"/>
      <c r="O522" s="73"/>
      <c r="P522" s="73"/>
      <c r="Q522" s="73"/>
      <c r="R522" s="73"/>
      <c r="S522" s="73"/>
      <c r="T522" s="73"/>
      <c r="U522" s="74"/>
    </row>
    <row r="523" spans="2:21" s="15" customFormat="1" x14ac:dyDescent="0.25">
      <c r="B523" s="72" t="s">
        <v>3083</v>
      </c>
      <c r="C523" s="73"/>
      <c r="D523" s="73"/>
      <c r="E523" s="73"/>
      <c r="F523" s="73"/>
      <c r="G523" s="73"/>
      <c r="H523" s="73"/>
      <c r="I523" s="73"/>
      <c r="J523" s="73"/>
      <c r="K523" s="73"/>
      <c r="L523" s="73"/>
      <c r="M523" s="73"/>
      <c r="N523" s="73"/>
      <c r="O523" s="73"/>
      <c r="P523" s="73"/>
      <c r="Q523" s="73"/>
      <c r="R523" s="73"/>
      <c r="S523" s="73"/>
      <c r="T523" s="73"/>
      <c r="U523" s="74"/>
    </row>
    <row r="524" spans="2:21" s="15" customFormat="1" x14ac:dyDescent="0.25">
      <c r="B524" s="72" t="s">
        <v>3093</v>
      </c>
      <c r="C524" s="73"/>
      <c r="D524" s="73"/>
      <c r="E524" s="73"/>
      <c r="F524" s="73"/>
      <c r="G524" s="73"/>
      <c r="H524" s="73"/>
      <c r="I524" s="73"/>
      <c r="J524" s="73"/>
      <c r="K524" s="73"/>
      <c r="L524" s="73"/>
      <c r="M524" s="73"/>
      <c r="N524" s="73"/>
      <c r="O524" s="73"/>
      <c r="P524" s="73"/>
      <c r="Q524" s="73"/>
      <c r="R524" s="73"/>
      <c r="S524" s="73"/>
      <c r="T524" s="73"/>
      <c r="U524" s="74"/>
    </row>
    <row r="525" spans="2:21" s="15" customFormat="1" x14ac:dyDescent="0.25">
      <c r="B525" s="72" t="s">
        <v>3165</v>
      </c>
      <c r="C525" s="73"/>
      <c r="D525" s="73"/>
      <c r="E525" s="73"/>
      <c r="F525" s="73"/>
      <c r="G525" s="73"/>
      <c r="H525" s="73"/>
      <c r="I525" s="73"/>
      <c r="J525" s="73"/>
      <c r="K525" s="73"/>
      <c r="L525" s="73"/>
      <c r="M525" s="73"/>
      <c r="N525" s="73"/>
      <c r="O525" s="73"/>
      <c r="P525" s="73"/>
      <c r="Q525" s="73"/>
      <c r="R525" s="73"/>
      <c r="S525" s="73"/>
      <c r="T525" s="73"/>
      <c r="U525" s="74"/>
    </row>
    <row r="526" spans="2:21" s="15" customFormat="1" x14ac:dyDescent="0.25">
      <c r="B526" s="72" t="s">
        <v>3085</v>
      </c>
      <c r="C526" s="73"/>
      <c r="D526" s="73"/>
      <c r="E526" s="73"/>
      <c r="F526" s="73"/>
      <c r="G526" s="73"/>
      <c r="H526" s="73"/>
      <c r="I526" s="73"/>
      <c r="J526" s="73"/>
      <c r="K526" s="73"/>
      <c r="L526" s="73"/>
      <c r="M526" s="73"/>
      <c r="N526" s="73"/>
      <c r="O526" s="73"/>
      <c r="P526" s="73"/>
      <c r="Q526" s="73"/>
      <c r="R526" s="73"/>
      <c r="S526" s="73"/>
      <c r="T526" s="73"/>
      <c r="U526" s="74"/>
    </row>
    <row r="527" spans="2:21" s="15" customFormat="1" x14ac:dyDescent="0.25">
      <c r="B527" s="72" t="s">
        <v>3281</v>
      </c>
      <c r="C527" s="73"/>
      <c r="D527" s="73"/>
      <c r="E527" s="73"/>
      <c r="F527" s="73"/>
      <c r="G527" s="73"/>
      <c r="H527" s="73"/>
      <c r="I527" s="73"/>
      <c r="J527" s="73"/>
      <c r="K527" s="73"/>
      <c r="L527" s="73"/>
      <c r="M527" s="73"/>
      <c r="N527" s="73"/>
      <c r="O527" s="73"/>
      <c r="P527" s="73"/>
      <c r="Q527" s="73"/>
      <c r="R527" s="73"/>
      <c r="S527" s="73"/>
      <c r="T527" s="73"/>
      <c r="U527" s="74"/>
    </row>
    <row r="528" spans="2:21" s="15" customFormat="1" x14ac:dyDescent="0.25">
      <c r="B528" s="72" t="s">
        <v>3203</v>
      </c>
      <c r="C528" s="73"/>
      <c r="D528" s="73"/>
      <c r="E528" s="73"/>
      <c r="F528" s="73"/>
      <c r="G528" s="73"/>
      <c r="H528" s="73"/>
      <c r="I528" s="73"/>
      <c r="J528" s="73"/>
      <c r="K528" s="73"/>
      <c r="L528" s="73"/>
      <c r="M528" s="73"/>
      <c r="N528" s="73"/>
      <c r="O528" s="73"/>
      <c r="P528" s="73"/>
      <c r="Q528" s="73"/>
      <c r="R528" s="73"/>
      <c r="S528" s="73"/>
      <c r="T528" s="73"/>
      <c r="U528" s="74"/>
    </row>
    <row r="529" spans="2:21" s="15" customFormat="1" x14ac:dyDescent="0.25">
      <c r="B529" s="72" t="s">
        <v>3168</v>
      </c>
      <c r="C529" s="73"/>
      <c r="D529" s="73"/>
      <c r="E529" s="73"/>
      <c r="F529" s="73"/>
      <c r="G529" s="73"/>
      <c r="H529" s="73"/>
      <c r="I529" s="73"/>
      <c r="J529" s="73"/>
      <c r="K529" s="73"/>
      <c r="L529" s="73"/>
      <c r="M529" s="73"/>
      <c r="N529" s="73"/>
      <c r="O529" s="73"/>
      <c r="P529" s="73"/>
      <c r="Q529" s="73"/>
      <c r="R529" s="73"/>
      <c r="S529" s="73"/>
      <c r="T529" s="73"/>
      <c r="U529" s="74"/>
    </row>
    <row r="530" spans="2:21" s="15" customFormat="1" x14ac:dyDescent="0.25">
      <c r="B530" s="72" t="s">
        <v>3169</v>
      </c>
      <c r="C530" s="73"/>
      <c r="D530" s="73"/>
      <c r="E530" s="73"/>
      <c r="F530" s="73"/>
      <c r="G530" s="73"/>
      <c r="H530" s="73"/>
      <c r="I530" s="73"/>
      <c r="J530" s="73"/>
      <c r="K530" s="73"/>
      <c r="L530" s="73"/>
      <c r="M530" s="73"/>
      <c r="N530" s="73"/>
      <c r="O530" s="73"/>
      <c r="P530" s="73"/>
      <c r="Q530" s="73"/>
      <c r="R530" s="73"/>
      <c r="S530" s="73"/>
      <c r="T530" s="73"/>
      <c r="U530" s="74"/>
    </row>
    <row r="531" spans="2:21" s="15" customFormat="1" x14ac:dyDescent="0.25">
      <c r="B531" s="72" t="s">
        <v>3283</v>
      </c>
      <c r="C531" s="73"/>
      <c r="D531" s="73"/>
      <c r="E531" s="73"/>
      <c r="F531" s="73"/>
      <c r="G531" s="73"/>
      <c r="H531" s="73"/>
      <c r="I531" s="73"/>
      <c r="J531" s="73"/>
      <c r="K531" s="73"/>
      <c r="L531" s="73"/>
      <c r="M531" s="73"/>
      <c r="N531" s="73"/>
      <c r="O531" s="73"/>
      <c r="P531" s="73"/>
      <c r="Q531" s="73"/>
      <c r="R531" s="73"/>
      <c r="S531" s="73"/>
      <c r="T531" s="73"/>
      <c r="U531" s="74"/>
    </row>
    <row r="532" spans="2:21" s="15" customFormat="1" x14ac:dyDescent="0.25">
      <c r="B532" s="72" t="s">
        <v>3284</v>
      </c>
      <c r="C532" s="73"/>
      <c r="D532" s="73"/>
      <c r="E532" s="73"/>
      <c r="F532" s="73"/>
      <c r="G532" s="73"/>
      <c r="H532" s="73"/>
      <c r="I532" s="73"/>
      <c r="J532" s="73"/>
      <c r="K532" s="73"/>
      <c r="L532" s="73"/>
      <c r="M532" s="73"/>
      <c r="N532" s="73"/>
      <c r="O532" s="73"/>
      <c r="P532" s="73"/>
      <c r="Q532" s="73"/>
      <c r="R532" s="73"/>
      <c r="S532" s="73"/>
      <c r="T532" s="73"/>
      <c r="U532" s="74"/>
    </row>
    <row r="533" spans="2:21" s="15" customFormat="1" x14ac:dyDescent="0.25">
      <c r="B533" s="72" t="s">
        <v>3172</v>
      </c>
      <c r="C533" s="73"/>
      <c r="D533" s="73"/>
      <c r="E533" s="73"/>
      <c r="F533" s="73"/>
      <c r="G533" s="73"/>
      <c r="H533" s="73"/>
      <c r="I533" s="73"/>
      <c r="J533" s="73"/>
      <c r="K533" s="73"/>
      <c r="L533" s="73"/>
      <c r="M533" s="73"/>
      <c r="N533" s="73"/>
      <c r="O533" s="73"/>
      <c r="P533" s="73"/>
      <c r="Q533" s="73"/>
      <c r="R533" s="73"/>
      <c r="S533" s="73"/>
      <c r="T533" s="73"/>
      <c r="U533" s="74"/>
    </row>
    <row r="534" spans="2:21" s="15" customFormat="1" x14ac:dyDescent="0.25">
      <c r="B534" s="72" t="s">
        <v>3285</v>
      </c>
      <c r="C534" s="73"/>
      <c r="D534" s="73"/>
      <c r="E534" s="73"/>
      <c r="F534" s="73"/>
      <c r="G534" s="73"/>
      <c r="H534" s="73"/>
      <c r="I534" s="73"/>
      <c r="J534" s="73"/>
      <c r="K534" s="73"/>
      <c r="L534" s="73"/>
      <c r="M534" s="73"/>
      <c r="N534" s="73"/>
      <c r="O534" s="73"/>
      <c r="P534" s="73"/>
      <c r="Q534" s="73"/>
      <c r="R534" s="73"/>
      <c r="S534" s="73"/>
      <c r="T534" s="73"/>
      <c r="U534" s="74"/>
    </row>
    <row r="535" spans="2:21" s="15" customFormat="1" x14ac:dyDescent="0.25">
      <c r="B535" s="72" t="s">
        <v>3391</v>
      </c>
      <c r="C535" s="73"/>
      <c r="D535" s="73"/>
      <c r="E535" s="73"/>
      <c r="F535" s="73"/>
      <c r="G535" s="73"/>
      <c r="H535" s="73"/>
      <c r="I535" s="73"/>
      <c r="J535" s="73"/>
      <c r="K535" s="73"/>
      <c r="L535" s="73"/>
      <c r="M535" s="73"/>
      <c r="N535" s="73"/>
      <c r="O535" s="73"/>
      <c r="P535" s="73"/>
      <c r="Q535" s="73"/>
      <c r="R535" s="73"/>
      <c r="S535" s="73"/>
      <c r="T535" s="73"/>
      <c r="U535" s="74"/>
    </row>
    <row r="536" spans="2:21" s="15" customFormat="1" x14ac:dyDescent="0.25">
      <c r="B536" s="72" t="s">
        <v>3175</v>
      </c>
      <c r="C536" s="73"/>
      <c r="D536" s="73"/>
      <c r="E536" s="73"/>
      <c r="F536" s="73"/>
      <c r="G536" s="73"/>
      <c r="H536" s="73"/>
      <c r="I536" s="73"/>
      <c r="J536" s="73"/>
      <c r="K536" s="73"/>
      <c r="L536" s="73"/>
      <c r="M536" s="73"/>
      <c r="N536" s="73"/>
      <c r="O536" s="73"/>
      <c r="P536" s="73"/>
      <c r="Q536" s="73"/>
      <c r="R536" s="73"/>
      <c r="S536" s="73"/>
      <c r="T536" s="73"/>
      <c r="U536" s="74"/>
    </row>
    <row r="537" spans="2:21" s="15" customFormat="1" x14ac:dyDescent="0.25">
      <c r="B537" s="72" t="s">
        <v>3292</v>
      </c>
      <c r="C537" s="73"/>
      <c r="D537" s="73"/>
      <c r="E537" s="73"/>
      <c r="F537" s="73"/>
      <c r="G537" s="73"/>
      <c r="H537" s="73"/>
      <c r="I537" s="73"/>
      <c r="J537" s="73"/>
      <c r="K537" s="73"/>
      <c r="L537" s="73"/>
      <c r="M537" s="73"/>
      <c r="N537" s="73"/>
      <c r="O537" s="73"/>
      <c r="P537" s="73"/>
      <c r="Q537" s="73"/>
      <c r="R537" s="73"/>
      <c r="S537" s="73"/>
      <c r="T537" s="73"/>
      <c r="U537" s="74"/>
    </row>
    <row r="538" spans="2:21" s="15" customFormat="1" x14ac:dyDescent="0.25">
      <c r="B538" s="72" t="s">
        <v>3288</v>
      </c>
      <c r="C538" s="73"/>
      <c r="D538" s="73"/>
      <c r="E538" s="73"/>
      <c r="F538" s="73"/>
      <c r="G538" s="73"/>
      <c r="H538" s="73"/>
      <c r="I538" s="73"/>
      <c r="J538" s="73"/>
      <c r="K538" s="73"/>
      <c r="L538" s="73"/>
      <c r="M538" s="73"/>
      <c r="N538" s="73"/>
      <c r="O538" s="73"/>
      <c r="P538" s="73"/>
      <c r="Q538" s="73"/>
      <c r="R538" s="73"/>
      <c r="S538" s="73"/>
      <c r="T538" s="73"/>
      <c r="U538" s="74"/>
    </row>
    <row r="539" spans="2:21" s="15" customFormat="1" x14ac:dyDescent="0.25">
      <c r="B539" s="72" t="s">
        <v>3289</v>
      </c>
      <c r="C539" s="73"/>
      <c r="D539" s="73"/>
      <c r="E539" s="73"/>
      <c r="F539" s="73"/>
      <c r="G539" s="73"/>
      <c r="H539" s="73"/>
      <c r="I539" s="73"/>
      <c r="J539" s="73"/>
      <c r="K539" s="73"/>
      <c r="L539" s="73"/>
      <c r="M539" s="73"/>
      <c r="N539" s="73"/>
      <c r="O539" s="73"/>
      <c r="P539" s="73"/>
      <c r="Q539" s="73"/>
      <c r="R539" s="73"/>
      <c r="S539" s="73"/>
      <c r="T539" s="73"/>
      <c r="U539" s="74"/>
    </row>
    <row r="540" spans="2:21" s="15" customFormat="1" x14ac:dyDescent="0.25">
      <c r="B540" s="72" t="s">
        <v>3392</v>
      </c>
      <c r="C540" s="73"/>
      <c r="D540" s="73"/>
      <c r="E540" s="73"/>
      <c r="F540" s="73"/>
      <c r="G540" s="73"/>
      <c r="H540" s="73"/>
      <c r="I540" s="73"/>
      <c r="J540" s="73"/>
      <c r="K540" s="73"/>
      <c r="L540" s="73"/>
      <c r="M540" s="73"/>
      <c r="N540" s="73"/>
      <c r="O540" s="73"/>
      <c r="P540" s="73"/>
      <c r="Q540" s="73"/>
      <c r="R540" s="73"/>
      <c r="S540" s="73"/>
      <c r="T540" s="73"/>
      <c r="U540" s="74"/>
    </row>
    <row r="541" spans="2:21" s="15" customFormat="1" x14ac:dyDescent="0.25">
      <c r="B541" s="72" t="s">
        <v>3293</v>
      </c>
      <c r="C541" s="73"/>
      <c r="D541" s="73"/>
      <c r="E541" s="73"/>
      <c r="F541" s="73"/>
      <c r="G541" s="73"/>
      <c r="H541" s="73"/>
      <c r="I541" s="73"/>
      <c r="J541" s="73"/>
      <c r="K541" s="73"/>
      <c r="L541" s="73"/>
      <c r="M541" s="73"/>
      <c r="N541" s="73"/>
      <c r="O541" s="73"/>
      <c r="P541" s="73"/>
      <c r="Q541" s="73"/>
      <c r="R541" s="73"/>
      <c r="S541" s="73"/>
      <c r="T541" s="73"/>
      <c r="U541" s="74"/>
    </row>
    <row r="542" spans="2:21" s="15" customFormat="1" x14ac:dyDescent="0.25">
      <c r="B542" s="72" t="s">
        <v>3181</v>
      </c>
      <c r="C542" s="73"/>
      <c r="D542" s="73"/>
      <c r="E542" s="73"/>
      <c r="F542" s="73"/>
      <c r="G542" s="73"/>
      <c r="H542" s="73"/>
      <c r="I542" s="73"/>
      <c r="J542" s="73"/>
      <c r="K542" s="73"/>
      <c r="L542" s="73"/>
      <c r="M542" s="73"/>
      <c r="N542" s="73"/>
      <c r="O542" s="73"/>
      <c r="P542" s="73"/>
      <c r="Q542" s="73"/>
      <c r="R542" s="73"/>
      <c r="S542" s="73"/>
      <c r="T542" s="73"/>
      <c r="U542" s="74"/>
    </row>
    <row r="543" spans="2:21" s="15" customFormat="1" x14ac:dyDescent="0.25">
      <c r="B543" s="72" t="s">
        <v>3085</v>
      </c>
      <c r="C543" s="73"/>
      <c r="D543" s="73"/>
      <c r="E543" s="73"/>
      <c r="F543" s="73"/>
      <c r="G543" s="73"/>
      <c r="H543" s="73"/>
      <c r="I543" s="73"/>
      <c r="J543" s="73"/>
      <c r="K543" s="73"/>
      <c r="L543" s="73"/>
      <c r="M543" s="73"/>
      <c r="N543" s="73"/>
      <c r="O543" s="73"/>
      <c r="P543" s="73"/>
      <c r="Q543" s="73"/>
      <c r="R543" s="73"/>
      <c r="S543" s="73"/>
      <c r="T543" s="73"/>
      <c r="U543" s="74"/>
    </row>
    <row r="544" spans="2:21" s="15" customFormat="1" x14ac:dyDescent="0.25">
      <c r="B544" s="72" t="s">
        <v>3281</v>
      </c>
      <c r="C544" s="73"/>
      <c r="D544" s="73"/>
      <c r="E544" s="73"/>
      <c r="F544" s="73"/>
      <c r="G544" s="73"/>
      <c r="H544" s="73"/>
      <c r="I544" s="73"/>
      <c r="J544" s="73"/>
      <c r="K544" s="73"/>
      <c r="L544" s="73"/>
      <c r="M544" s="73"/>
      <c r="N544" s="73"/>
      <c r="O544" s="73"/>
      <c r="P544" s="73"/>
      <c r="Q544" s="73"/>
      <c r="R544" s="73"/>
      <c r="S544" s="73"/>
      <c r="T544" s="73"/>
      <c r="U544" s="74"/>
    </row>
    <row r="545" spans="2:21" s="15" customFormat="1" x14ac:dyDescent="0.25">
      <c r="B545" s="72" t="s">
        <v>3167</v>
      </c>
      <c r="C545" s="73"/>
      <c r="D545" s="73"/>
      <c r="E545" s="73"/>
      <c r="F545" s="73"/>
      <c r="G545" s="73"/>
      <c r="H545" s="73"/>
      <c r="I545" s="73"/>
      <c r="J545" s="73"/>
      <c r="K545" s="73"/>
      <c r="L545" s="73"/>
      <c r="M545" s="73"/>
      <c r="N545" s="73"/>
      <c r="O545" s="73"/>
      <c r="P545" s="73"/>
      <c r="Q545" s="73"/>
      <c r="R545" s="73"/>
      <c r="S545" s="73"/>
      <c r="T545" s="73"/>
      <c r="U545" s="74"/>
    </row>
    <row r="546" spans="2:21" s="15" customFormat="1" x14ac:dyDescent="0.25">
      <c r="B546" s="72" t="s">
        <v>3168</v>
      </c>
      <c r="C546" s="73"/>
      <c r="D546" s="73"/>
      <c r="E546" s="73"/>
      <c r="F546" s="73"/>
      <c r="G546" s="73"/>
      <c r="H546" s="73"/>
      <c r="I546" s="73"/>
      <c r="J546" s="73"/>
      <c r="K546" s="73"/>
      <c r="L546" s="73"/>
      <c r="M546" s="73"/>
      <c r="N546" s="73"/>
      <c r="O546" s="73"/>
      <c r="P546" s="73"/>
      <c r="Q546" s="73"/>
      <c r="R546" s="73"/>
      <c r="S546" s="73"/>
      <c r="T546" s="73"/>
      <c r="U546" s="74"/>
    </row>
    <row r="547" spans="2:21" s="15" customFormat="1" x14ac:dyDescent="0.25">
      <c r="B547" s="72" t="s">
        <v>3169</v>
      </c>
      <c r="C547" s="73"/>
      <c r="D547" s="73"/>
      <c r="E547" s="73"/>
      <c r="F547" s="73"/>
      <c r="G547" s="73"/>
      <c r="H547" s="73"/>
      <c r="I547" s="73"/>
      <c r="J547" s="73"/>
      <c r="K547" s="73"/>
      <c r="L547" s="73"/>
      <c r="M547" s="73"/>
      <c r="N547" s="73"/>
      <c r="O547" s="73"/>
      <c r="P547" s="73"/>
      <c r="Q547" s="73"/>
      <c r="R547" s="73"/>
      <c r="S547" s="73"/>
      <c r="T547" s="73"/>
      <c r="U547" s="74"/>
    </row>
    <row r="548" spans="2:21" s="15" customFormat="1" x14ac:dyDescent="0.25">
      <c r="B548" s="72" t="s">
        <v>3283</v>
      </c>
      <c r="C548" s="73"/>
      <c r="D548" s="73"/>
      <c r="E548" s="73"/>
      <c r="F548" s="73"/>
      <c r="G548" s="73"/>
      <c r="H548" s="73"/>
      <c r="I548" s="73"/>
      <c r="J548" s="73"/>
      <c r="K548" s="73"/>
      <c r="L548" s="73"/>
      <c r="M548" s="73"/>
      <c r="N548" s="73"/>
      <c r="O548" s="73"/>
      <c r="P548" s="73"/>
      <c r="Q548" s="73"/>
      <c r="R548" s="73"/>
      <c r="S548" s="73"/>
      <c r="T548" s="73"/>
      <c r="U548" s="74"/>
    </row>
    <row r="549" spans="2:21" s="15" customFormat="1" x14ac:dyDescent="0.25">
      <c r="B549" s="72" t="s">
        <v>3284</v>
      </c>
      <c r="C549" s="73"/>
      <c r="D549" s="73"/>
      <c r="E549" s="73"/>
      <c r="F549" s="73"/>
      <c r="G549" s="73"/>
      <c r="H549" s="73"/>
      <c r="I549" s="73"/>
      <c r="J549" s="73"/>
      <c r="K549" s="73"/>
      <c r="L549" s="73"/>
      <c r="M549" s="73"/>
      <c r="N549" s="73"/>
      <c r="O549" s="73"/>
      <c r="P549" s="73"/>
      <c r="Q549" s="73"/>
      <c r="R549" s="73"/>
      <c r="S549" s="73"/>
      <c r="T549" s="73"/>
      <c r="U549" s="74"/>
    </row>
    <row r="550" spans="2:21" s="15" customFormat="1" x14ac:dyDescent="0.25">
      <c r="B550" s="72" t="s">
        <v>3172</v>
      </c>
      <c r="C550" s="73"/>
      <c r="D550" s="73"/>
      <c r="E550" s="73"/>
      <c r="F550" s="73"/>
      <c r="G550" s="73"/>
      <c r="H550" s="73"/>
      <c r="I550" s="73"/>
      <c r="J550" s="73"/>
      <c r="K550" s="73"/>
      <c r="L550" s="73"/>
      <c r="M550" s="73"/>
      <c r="N550" s="73"/>
      <c r="O550" s="73"/>
      <c r="P550" s="73"/>
      <c r="Q550" s="73"/>
      <c r="R550" s="73"/>
      <c r="S550" s="73"/>
      <c r="T550" s="73"/>
      <c r="U550" s="74"/>
    </row>
    <row r="551" spans="2:21" s="15" customFormat="1" x14ac:dyDescent="0.25">
      <c r="B551" s="72" t="s">
        <v>3285</v>
      </c>
      <c r="C551" s="73"/>
      <c r="D551" s="73"/>
      <c r="E551" s="73"/>
      <c r="F551" s="73"/>
      <c r="G551" s="73"/>
      <c r="H551" s="73"/>
      <c r="I551" s="73"/>
      <c r="J551" s="73"/>
      <c r="K551" s="73"/>
      <c r="L551" s="73"/>
      <c r="M551" s="73"/>
      <c r="N551" s="73"/>
      <c r="O551" s="73"/>
      <c r="P551" s="73"/>
      <c r="Q551" s="73"/>
      <c r="R551" s="73"/>
      <c r="S551" s="73"/>
      <c r="T551" s="73"/>
      <c r="U551" s="74"/>
    </row>
    <row r="552" spans="2:21" s="15" customFormat="1" x14ac:dyDescent="0.25">
      <c r="B552" s="72" t="s">
        <v>3391</v>
      </c>
      <c r="C552" s="73"/>
      <c r="D552" s="73"/>
      <c r="E552" s="73"/>
      <c r="F552" s="73"/>
      <c r="G552" s="73"/>
      <c r="H552" s="73"/>
      <c r="I552" s="73"/>
      <c r="J552" s="73"/>
      <c r="K552" s="73"/>
      <c r="L552" s="73"/>
      <c r="M552" s="73"/>
      <c r="N552" s="73"/>
      <c r="O552" s="73"/>
      <c r="P552" s="73"/>
      <c r="Q552" s="73"/>
      <c r="R552" s="73"/>
      <c r="S552" s="73"/>
      <c r="T552" s="73"/>
      <c r="U552" s="74"/>
    </row>
    <row r="553" spans="2:21" s="15" customFormat="1" x14ac:dyDescent="0.25">
      <c r="B553" s="72" t="s">
        <v>3291</v>
      </c>
      <c r="C553" s="73"/>
      <c r="D553" s="73"/>
      <c r="E553" s="73"/>
      <c r="F553" s="73"/>
      <c r="G553" s="73"/>
      <c r="H553" s="73"/>
      <c r="I553" s="73"/>
      <c r="J553" s="73"/>
      <c r="K553" s="73"/>
      <c r="L553" s="73"/>
      <c r="M553" s="73"/>
      <c r="N553" s="73"/>
      <c r="O553" s="73"/>
      <c r="P553" s="73"/>
      <c r="Q553" s="73"/>
      <c r="R553" s="73"/>
      <c r="S553" s="73"/>
      <c r="T553" s="73"/>
      <c r="U553" s="74"/>
    </row>
    <row r="554" spans="2:21" s="15" customFormat="1" x14ac:dyDescent="0.25">
      <c r="B554" s="72" t="s">
        <v>3176</v>
      </c>
      <c r="C554" s="73"/>
      <c r="D554" s="73"/>
      <c r="E554" s="73"/>
      <c r="F554" s="73"/>
      <c r="G554" s="73"/>
      <c r="H554" s="73"/>
      <c r="I554" s="73"/>
      <c r="J554" s="73"/>
      <c r="K554" s="73"/>
      <c r="L554" s="73"/>
      <c r="M554" s="73"/>
      <c r="N554" s="73"/>
      <c r="O554" s="73"/>
      <c r="P554" s="73"/>
      <c r="Q554" s="73"/>
      <c r="R554" s="73"/>
      <c r="S554" s="73"/>
      <c r="T554" s="73"/>
      <c r="U554" s="74"/>
    </row>
    <row r="555" spans="2:21" s="15" customFormat="1" x14ac:dyDescent="0.25">
      <c r="B555" s="72" t="s">
        <v>3393</v>
      </c>
      <c r="C555" s="73"/>
      <c r="D555" s="73"/>
      <c r="E555" s="73"/>
      <c r="F555" s="73"/>
      <c r="G555" s="73"/>
      <c r="H555" s="73"/>
      <c r="I555" s="73"/>
      <c r="J555" s="73"/>
      <c r="K555" s="73"/>
      <c r="L555" s="73"/>
      <c r="M555" s="73"/>
      <c r="N555" s="73"/>
      <c r="O555" s="73"/>
      <c r="P555" s="73"/>
      <c r="Q555" s="73"/>
      <c r="R555" s="73"/>
      <c r="S555" s="73"/>
      <c r="T555" s="73"/>
      <c r="U555" s="74"/>
    </row>
    <row r="556" spans="2:21" s="15" customFormat="1" x14ac:dyDescent="0.25">
      <c r="B556" s="72" t="s">
        <v>3289</v>
      </c>
      <c r="C556" s="73"/>
      <c r="D556" s="73"/>
      <c r="E556" s="73"/>
      <c r="F556" s="73"/>
      <c r="G556" s="73"/>
      <c r="H556" s="73"/>
      <c r="I556" s="73"/>
      <c r="J556" s="73"/>
      <c r="K556" s="73"/>
      <c r="L556" s="73"/>
      <c r="M556" s="73"/>
      <c r="N556" s="73"/>
      <c r="O556" s="73"/>
      <c r="P556" s="73"/>
      <c r="Q556" s="73"/>
      <c r="R556" s="73"/>
      <c r="S556" s="73"/>
      <c r="T556" s="73"/>
      <c r="U556" s="74"/>
    </row>
    <row r="557" spans="2:21" s="15" customFormat="1" x14ac:dyDescent="0.25">
      <c r="B557" s="72" t="s">
        <v>3294</v>
      </c>
      <c r="C557" s="73"/>
      <c r="D557" s="73"/>
      <c r="E557" s="73"/>
      <c r="F557" s="73"/>
      <c r="G557" s="73"/>
      <c r="H557" s="73"/>
      <c r="I557" s="73"/>
      <c r="J557" s="73"/>
      <c r="K557" s="73"/>
      <c r="L557" s="73"/>
      <c r="M557" s="73"/>
      <c r="N557" s="73"/>
      <c r="O557" s="73"/>
      <c r="P557" s="73"/>
      <c r="Q557" s="73"/>
      <c r="R557" s="73"/>
      <c r="S557" s="73"/>
      <c r="T557" s="73"/>
      <c r="U557" s="74"/>
    </row>
    <row r="558" spans="2:21" s="15" customFormat="1" x14ac:dyDescent="0.25">
      <c r="B558" s="72" t="s">
        <v>3180</v>
      </c>
      <c r="C558" s="73"/>
      <c r="D558" s="73"/>
      <c r="E558" s="73"/>
      <c r="F558" s="73"/>
      <c r="G558" s="73"/>
      <c r="H558" s="73"/>
      <c r="I558" s="73"/>
      <c r="J558" s="73"/>
      <c r="K558" s="73"/>
      <c r="L558" s="73"/>
      <c r="M558" s="73"/>
      <c r="N558" s="73"/>
      <c r="O558" s="73"/>
      <c r="P558" s="73"/>
      <c r="Q558" s="73"/>
      <c r="R558" s="73"/>
      <c r="S558" s="73"/>
      <c r="T558" s="73"/>
      <c r="U558" s="74"/>
    </row>
    <row r="559" spans="2:21" s="15" customFormat="1" x14ac:dyDescent="0.25">
      <c r="B559" s="72" t="s">
        <v>3181</v>
      </c>
      <c r="C559" s="73"/>
      <c r="D559" s="73"/>
      <c r="E559" s="73"/>
      <c r="F559" s="73"/>
      <c r="G559" s="73"/>
      <c r="H559" s="73"/>
      <c r="I559" s="73"/>
      <c r="J559" s="73"/>
      <c r="K559" s="73"/>
      <c r="L559" s="73"/>
      <c r="M559" s="73"/>
      <c r="N559" s="73"/>
      <c r="O559" s="73"/>
      <c r="P559" s="73"/>
      <c r="Q559" s="73"/>
      <c r="R559" s="73"/>
      <c r="S559" s="73"/>
      <c r="T559" s="73"/>
      <c r="U559" s="74"/>
    </row>
    <row r="560" spans="2:21" s="15" customFormat="1" x14ac:dyDescent="0.25">
      <c r="B560" s="72" t="s">
        <v>3085</v>
      </c>
      <c r="C560" s="73"/>
      <c r="D560" s="73"/>
      <c r="E560" s="73"/>
      <c r="F560" s="73"/>
      <c r="G560" s="73"/>
      <c r="H560" s="73"/>
      <c r="I560" s="73"/>
      <c r="J560" s="73"/>
      <c r="K560" s="73"/>
      <c r="L560" s="73"/>
      <c r="M560" s="73"/>
      <c r="N560" s="73"/>
      <c r="O560" s="73"/>
      <c r="P560" s="73"/>
      <c r="Q560" s="73"/>
      <c r="R560" s="73"/>
      <c r="S560" s="73"/>
      <c r="T560" s="73"/>
      <c r="U560" s="74"/>
    </row>
    <row r="561" spans="2:21" s="15" customFormat="1" x14ac:dyDescent="0.25">
      <c r="B561" s="72" t="s">
        <v>3295</v>
      </c>
      <c r="C561" s="73"/>
      <c r="D561" s="73"/>
      <c r="E561" s="73"/>
      <c r="F561" s="73"/>
      <c r="G561" s="73"/>
      <c r="H561" s="73"/>
      <c r="I561" s="73"/>
      <c r="J561" s="73"/>
      <c r="K561" s="73"/>
      <c r="L561" s="73"/>
      <c r="M561" s="73"/>
      <c r="N561" s="73"/>
      <c r="O561" s="73"/>
      <c r="P561" s="73"/>
      <c r="Q561" s="73"/>
      <c r="R561" s="73"/>
      <c r="S561" s="73"/>
      <c r="T561" s="73"/>
      <c r="U561" s="74"/>
    </row>
    <row r="562" spans="2:21" s="15" customFormat="1" x14ac:dyDescent="0.25">
      <c r="B562" s="72" t="s">
        <v>3183</v>
      </c>
      <c r="C562" s="73"/>
      <c r="D562" s="73"/>
      <c r="E562" s="73"/>
      <c r="F562" s="73"/>
      <c r="G562" s="73"/>
      <c r="H562" s="73"/>
      <c r="I562" s="73"/>
      <c r="J562" s="73"/>
      <c r="K562" s="73"/>
      <c r="L562" s="73"/>
      <c r="M562" s="73"/>
      <c r="N562" s="73"/>
      <c r="O562" s="73"/>
      <c r="P562" s="73"/>
      <c r="Q562" s="73"/>
      <c r="R562" s="73"/>
      <c r="S562" s="73"/>
      <c r="T562" s="73"/>
      <c r="U562" s="74"/>
    </row>
    <row r="563" spans="2:21" s="15" customFormat="1" x14ac:dyDescent="0.25">
      <c r="B563" s="72" t="s">
        <v>3394</v>
      </c>
      <c r="C563" s="73"/>
      <c r="D563" s="73"/>
      <c r="E563" s="73"/>
      <c r="F563" s="73"/>
      <c r="G563" s="73"/>
      <c r="H563" s="73"/>
      <c r="I563" s="73"/>
      <c r="J563" s="73"/>
      <c r="K563" s="73"/>
      <c r="L563" s="73"/>
      <c r="M563" s="73"/>
      <c r="N563" s="73"/>
      <c r="O563" s="73"/>
      <c r="P563" s="73"/>
      <c r="Q563" s="73"/>
      <c r="R563" s="73"/>
      <c r="S563" s="73"/>
      <c r="T563" s="73"/>
      <c r="U563" s="74"/>
    </row>
    <row r="564" spans="2:21" s="15" customFormat="1" x14ac:dyDescent="0.25">
      <c r="B564" s="72" t="s">
        <v>3282</v>
      </c>
      <c r="C564" s="73"/>
      <c r="D564" s="73"/>
      <c r="E564" s="73"/>
      <c r="F564" s="73"/>
      <c r="G564" s="73"/>
      <c r="H564" s="73"/>
      <c r="I564" s="73"/>
      <c r="J564" s="73"/>
      <c r="K564" s="73"/>
      <c r="L564" s="73"/>
      <c r="M564" s="73"/>
      <c r="N564" s="73"/>
      <c r="O564" s="73"/>
      <c r="P564" s="73"/>
      <c r="Q564" s="73"/>
      <c r="R564" s="73"/>
      <c r="S564" s="73"/>
      <c r="T564" s="73"/>
      <c r="U564" s="74"/>
    </row>
    <row r="565" spans="2:21" s="15" customFormat="1" x14ac:dyDescent="0.25">
      <c r="B565" s="72" t="s">
        <v>3283</v>
      </c>
      <c r="C565" s="73"/>
      <c r="D565" s="73"/>
      <c r="E565" s="73"/>
      <c r="F565" s="73"/>
      <c r="G565" s="73"/>
      <c r="H565" s="73"/>
      <c r="I565" s="73"/>
      <c r="J565" s="73"/>
      <c r="K565" s="73"/>
      <c r="L565" s="73"/>
      <c r="M565" s="73"/>
      <c r="N565" s="73"/>
      <c r="O565" s="73"/>
      <c r="P565" s="73"/>
      <c r="Q565" s="73"/>
      <c r="R565" s="73"/>
      <c r="S565" s="73"/>
      <c r="T565" s="73"/>
      <c r="U565" s="74"/>
    </row>
    <row r="566" spans="2:21" s="15" customFormat="1" x14ac:dyDescent="0.25">
      <c r="B566" s="72" t="s">
        <v>3284</v>
      </c>
      <c r="C566" s="73"/>
      <c r="D566" s="73"/>
      <c r="E566" s="73"/>
      <c r="F566" s="73"/>
      <c r="G566" s="73"/>
      <c r="H566" s="73"/>
      <c r="I566" s="73"/>
      <c r="J566" s="73"/>
      <c r="K566" s="73"/>
      <c r="L566" s="73"/>
      <c r="M566" s="73"/>
      <c r="N566" s="73"/>
      <c r="O566" s="73"/>
      <c r="P566" s="73"/>
      <c r="Q566" s="73"/>
      <c r="R566" s="73"/>
      <c r="S566" s="73"/>
      <c r="T566" s="73"/>
      <c r="U566" s="74"/>
    </row>
    <row r="567" spans="2:21" s="15" customFormat="1" x14ac:dyDescent="0.25">
      <c r="B567" s="72" t="s">
        <v>3172</v>
      </c>
      <c r="C567" s="73"/>
      <c r="D567" s="73"/>
      <c r="E567" s="73"/>
      <c r="F567" s="73"/>
      <c r="G567" s="73"/>
      <c r="H567" s="73"/>
      <c r="I567" s="73"/>
      <c r="J567" s="73"/>
      <c r="K567" s="73"/>
      <c r="L567" s="73"/>
      <c r="M567" s="73"/>
      <c r="N567" s="73"/>
      <c r="O567" s="73"/>
      <c r="P567" s="73"/>
      <c r="Q567" s="73"/>
      <c r="R567" s="73"/>
      <c r="S567" s="73"/>
      <c r="T567" s="73"/>
      <c r="U567" s="74"/>
    </row>
    <row r="568" spans="2:21" s="15" customFormat="1" x14ac:dyDescent="0.25">
      <c r="B568" s="72" t="s">
        <v>3285</v>
      </c>
      <c r="C568" s="73"/>
      <c r="D568" s="73"/>
      <c r="E568" s="73"/>
      <c r="F568" s="73"/>
      <c r="G568" s="73"/>
      <c r="H568" s="73"/>
      <c r="I568" s="73"/>
      <c r="J568" s="73"/>
      <c r="K568" s="73"/>
      <c r="L568" s="73"/>
      <c r="M568" s="73"/>
      <c r="N568" s="73"/>
      <c r="O568" s="73"/>
      <c r="P568" s="73"/>
      <c r="Q568" s="73"/>
      <c r="R568" s="73"/>
      <c r="S568" s="73"/>
      <c r="T568" s="73"/>
      <c r="U568" s="74"/>
    </row>
    <row r="569" spans="2:21" s="15" customFormat="1" x14ac:dyDescent="0.25">
      <c r="B569" s="72" t="s">
        <v>3391</v>
      </c>
      <c r="C569" s="73"/>
      <c r="D569" s="73"/>
      <c r="E569" s="73"/>
      <c r="F569" s="73"/>
      <c r="G569" s="73"/>
      <c r="H569" s="73"/>
      <c r="I569" s="73"/>
      <c r="J569" s="73"/>
      <c r="K569" s="73"/>
      <c r="L569" s="73"/>
      <c r="M569" s="73"/>
      <c r="N569" s="73"/>
      <c r="O569" s="73"/>
      <c r="P569" s="73"/>
      <c r="Q569" s="73"/>
      <c r="R569" s="73"/>
      <c r="S569" s="73"/>
      <c r="T569" s="73"/>
      <c r="U569" s="74"/>
    </row>
    <row r="570" spans="2:21" s="15" customFormat="1" x14ac:dyDescent="0.25">
      <c r="B570" s="72" t="s">
        <v>3287</v>
      </c>
      <c r="C570" s="73"/>
      <c r="D570" s="73"/>
      <c r="E570" s="73"/>
      <c r="F570" s="73"/>
      <c r="G570" s="73"/>
      <c r="H570" s="73"/>
      <c r="I570" s="73"/>
      <c r="J570" s="73"/>
      <c r="K570" s="73"/>
      <c r="L570" s="73"/>
      <c r="M570" s="73"/>
      <c r="N570" s="73"/>
      <c r="O570" s="73"/>
      <c r="P570" s="73"/>
      <c r="Q570" s="73"/>
      <c r="R570" s="73"/>
      <c r="S570" s="73"/>
      <c r="T570" s="73"/>
      <c r="U570" s="74"/>
    </row>
    <row r="571" spans="2:21" s="15" customFormat="1" x14ac:dyDescent="0.25">
      <c r="B571" s="72" t="s">
        <v>3176</v>
      </c>
      <c r="C571" s="73"/>
      <c r="D571" s="73"/>
      <c r="E571" s="73"/>
      <c r="F571" s="73"/>
      <c r="G571" s="73"/>
      <c r="H571" s="73"/>
      <c r="I571" s="73"/>
      <c r="J571" s="73"/>
      <c r="K571" s="73"/>
      <c r="L571" s="73"/>
      <c r="M571" s="73"/>
      <c r="N571" s="73"/>
      <c r="O571" s="73"/>
      <c r="P571" s="73"/>
      <c r="Q571" s="73"/>
      <c r="R571" s="73"/>
      <c r="S571" s="73"/>
      <c r="T571" s="73"/>
      <c r="U571" s="74"/>
    </row>
    <row r="572" spans="2:21" s="15" customFormat="1" x14ac:dyDescent="0.25">
      <c r="B572" s="72" t="s">
        <v>3288</v>
      </c>
      <c r="C572" s="73"/>
      <c r="D572" s="73"/>
      <c r="E572" s="73"/>
      <c r="F572" s="73"/>
      <c r="G572" s="73"/>
      <c r="H572" s="73"/>
      <c r="I572" s="73"/>
      <c r="J572" s="73"/>
      <c r="K572" s="73"/>
      <c r="L572" s="73"/>
      <c r="M572" s="73"/>
      <c r="N572" s="73"/>
      <c r="O572" s="73"/>
      <c r="P572" s="73"/>
      <c r="Q572" s="73"/>
      <c r="R572" s="73"/>
      <c r="S572" s="73"/>
      <c r="T572" s="73"/>
      <c r="U572" s="74"/>
    </row>
    <row r="573" spans="2:21" s="15" customFormat="1" x14ac:dyDescent="0.25">
      <c r="B573" s="72" t="s">
        <v>3289</v>
      </c>
      <c r="C573" s="73"/>
      <c r="D573" s="73"/>
      <c r="E573" s="73"/>
      <c r="F573" s="73"/>
      <c r="G573" s="73"/>
      <c r="H573" s="73"/>
      <c r="I573" s="73"/>
      <c r="J573" s="73"/>
      <c r="K573" s="73"/>
      <c r="L573" s="73"/>
      <c r="M573" s="73"/>
      <c r="N573" s="73"/>
      <c r="O573" s="73"/>
      <c r="P573" s="73"/>
      <c r="Q573" s="73"/>
      <c r="R573" s="73"/>
      <c r="S573" s="73"/>
      <c r="T573" s="73"/>
      <c r="U573" s="74"/>
    </row>
    <row r="574" spans="2:21" s="15" customFormat="1" x14ac:dyDescent="0.25">
      <c r="B574" s="72" t="s">
        <v>3294</v>
      </c>
      <c r="C574" s="73"/>
      <c r="D574" s="73"/>
      <c r="E574" s="73"/>
      <c r="F574" s="73"/>
      <c r="G574" s="73"/>
      <c r="H574" s="73"/>
      <c r="I574" s="73"/>
      <c r="J574" s="73"/>
      <c r="K574" s="73"/>
      <c r="L574" s="73"/>
      <c r="M574" s="73"/>
      <c r="N574" s="73"/>
      <c r="O574" s="73"/>
      <c r="P574" s="73"/>
      <c r="Q574" s="73"/>
      <c r="R574" s="73"/>
      <c r="S574" s="73"/>
      <c r="T574" s="73"/>
      <c r="U574" s="74"/>
    </row>
    <row r="575" spans="2:21" s="15" customFormat="1" x14ac:dyDescent="0.25">
      <c r="B575" s="72" t="s">
        <v>3180</v>
      </c>
      <c r="C575" s="73"/>
      <c r="D575" s="73"/>
      <c r="E575" s="73"/>
      <c r="F575" s="73"/>
      <c r="G575" s="73"/>
      <c r="H575" s="73"/>
      <c r="I575" s="73"/>
      <c r="J575" s="73"/>
      <c r="K575" s="73"/>
      <c r="L575" s="73"/>
      <c r="M575" s="73"/>
      <c r="N575" s="73"/>
      <c r="O575" s="73"/>
      <c r="P575" s="73"/>
      <c r="Q575" s="73"/>
      <c r="R575" s="73"/>
      <c r="S575" s="73"/>
      <c r="T575" s="73"/>
      <c r="U575" s="74"/>
    </row>
    <row r="576" spans="2:21" s="15" customFormat="1" x14ac:dyDescent="0.25">
      <c r="B576" s="72" t="s">
        <v>3181</v>
      </c>
      <c r="C576" s="73"/>
      <c r="D576" s="73"/>
      <c r="E576" s="73"/>
      <c r="F576" s="73"/>
      <c r="G576" s="73"/>
      <c r="H576" s="73"/>
      <c r="I576" s="73"/>
      <c r="J576" s="73"/>
      <c r="K576" s="73"/>
      <c r="L576" s="73"/>
      <c r="M576" s="73"/>
      <c r="N576" s="73"/>
      <c r="O576" s="73"/>
      <c r="P576" s="73"/>
      <c r="Q576" s="73"/>
      <c r="R576" s="73"/>
      <c r="S576" s="73"/>
      <c r="T576" s="73"/>
      <c r="U576" s="74"/>
    </row>
    <row r="577" spans="2:21" s="15" customFormat="1" x14ac:dyDescent="0.25">
      <c r="B577" s="72" t="s">
        <v>3085</v>
      </c>
      <c r="C577" s="73"/>
      <c r="D577" s="73"/>
      <c r="E577" s="73"/>
      <c r="F577" s="73"/>
      <c r="G577" s="73"/>
      <c r="H577" s="73"/>
      <c r="I577" s="73"/>
      <c r="J577" s="73"/>
      <c r="K577" s="73"/>
      <c r="L577" s="73"/>
      <c r="M577" s="73"/>
      <c r="N577" s="73"/>
      <c r="O577" s="73"/>
      <c r="P577" s="73"/>
      <c r="Q577" s="73"/>
      <c r="R577" s="73"/>
      <c r="S577" s="73"/>
      <c r="T577" s="73"/>
      <c r="U577" s="74"/>
    </row>
    <row r="578" spans="2:21" s="15" customFormat="1" x14ac:dyDescent="0.25">
      <c r="B578" s="72" t="s">
        <v>3295</v>
      </c>
      <c r="C578" s="73"/>
      <c r="D578" s="73"/>
      <c r="E578" s="73"/>
      <c r="F578" s="73"/>
      <c r="G578" s="73"/>
      <c r="H578" s="73"/>
      <c r="I578" s="73"/>
      <c r="J578" s="73"/>
      <c r="K578" s="73"/>
      <c r="L578" s="73"/>
      <c r="M578" s="73"/>
      <c r="N578" s="73"/>
      <c r="O578" s="73"/>
      <c r="P578" s="73"/>
      <c r="Q578" s="73"/>
      <c r="R578" s="73"/>
      <c r="S578" s="73"/>
      <c r="T578" s="73"/>
      <c r="U578" s="74"/>
    </row>
    <row r="579" spans="2:21" s="15" customFormat="1" x14ac:dyDescent="0.25">
      <c r="B579" s="72" t="s">
        <v>3203</v>
      </c>
      <c r="C579" s="73"/>
      <c r="D579" s="73"/>
      <c r="E579" s="73"/>
      <c r="F579" s="73"/>
      <c r="G579" s="73"/>
      <c r="H579" s="73"/>
      <c r="I579" s="73"/>
      <c r="J579" s="73"/>
      <c r="K579" s="73"/>
      <c r="L579" s="73"/>
      <c r="M579" s="73"/>
      <c r="N579" s="73"/>
      <c r="O579" s="73"/>
      <c r="P579" s="73"/>
      <c r="Q579" s="73"/>
      <c r="R579" s="73"/>
      <c r="S579" s="73"/>
      <c r="T579" s="73"/>
      <c r="U579" s="74"/>
    </row>
    <row r="580" spans="2:21" s="15" customFormat="1" x14ac:dyDescent="0.25">
      <c r="B580" s="72" t="s">
        <v>3168</v>
      </c>
      <c r="C580" s="73"/>
      <c r="D580" s="73"/>
      <c r="E580" s="73"/>
      <c r="F580" s="73"/>
      <c r="G580" s="73"/>
      <c r="H580" s="73"/>
      <c r="I580" s="73"/>
      <c r="J580" s="73"/>
      <c r="K580" s="73"/>
      <c r="L580" s="73"/>
      <c r="M580" s="73"/>
      <c r="N580" s="73"/>
      <c r="O580" s="73"/>
      <c r="P580" s="73"/>
      <c r="Q580" s="73"/>
      <c r="R580" s="73"/>
      <c r="S580" s="73"/>
      <c r="T580" s="73"/>
      <c r="U580" s="74"/>
    </row>
    <row r="581" spans="2:21" s="15" customFormat="1" x14ac:dyDescent="0.25">
      <c r="B581" s="72" t="s">
        <v>3169</v>
      </c>
      <c r="C581" s="73"/>
      <c r="D581" s="73"/>
      <c r="E581" s="73"/>
      <c r="F581" s="73"/>
      <c r="G581" s="73"/>
      <c r="H581" s="73"/>
      <c r="I581" s="73"/>
      <c r="J581" s="73"/>
      <c r="K581" s="73"/>
      <c r="L581" s="73"/>
      <c r="M581" s="73"/>
      <c r="N581" s="73"/>
      <c r="O581" s="73"/>
      <c r="P581" s="73"/>
      <c r="Q581" s="73"/>
      <c r="R581" s="73"/>
      <c r="S581" s="73"/>
      <c r="T581" s="73"/>
      <c r="U581" s="74"/>
    </row>
    <row r="582" spans="2:21" s="15" customFormat="1" x14ac:dyDescent="0.25">
      <c r="B582" s="72" t="s">
        <v>3283</v>
      </c>
      <c r="C582" s="73"/>
      <c r="D582" s="73"/>
      <c r="E582" s="73"/>
      <c r="F582" s="73"/>
      <c r="G582" s="73"/>
      <c r="H582" s="73"/>
      <c r="I582" s="73"/>
      <c r="J582" s="73"/>
      <c r="K582" s="73"/>
      <c r="L582" s="73"/>
      <c r="M582" s="73"/>
      <c r="N582" s="73"/>
      <c r="O582" s="73"/>
      <c r="P582" s="73"/>
      <c r="Q582" s="73"/>
      <c r="R582" s="73"/>
      <c r="S582" s="73"/>
      <c r="T582" s="73"/>
      <c r="U582" s="74"/>
    </row>
    <row r="583" spans="2:21" s="15" customFormat="1" x14ac:dyDescent="0.25">
      <c r="B583" s="72" t="s">
        <v>3284</v>
      </c>
      <c r="C583" s="73"/>
      <c r="D583" s="73"/>
      <c r="E583" s="73"/>
      <c r="F583" s="73"/>
      <c r="G583" s="73"/>
      <c r="H583" s="73"/>
      <c r="I583" s="73"/>
      <c r="J583" s="73"/>
      <c r="K583" s="73"/>
      <c r="L583" s="73"/>
      <c r="M583" s="73"/>
      <c r="N583" s="73"/>
      <c r="O583" s="73"/>
      <c r="P583" s="73"/>
      <c r="Q583" s="73"/>
      <c r="R583" s="73"/>
      <c r="S583" s="73"/>
      <c r="T583" s="73"/>
      <c r="U583" s="74"/>
    </row>
    <row r="584" spans="2:21" s="15" customFormat="1" x14ac:dyDescent="0.25">
      <c r="B584" s="72" t="s">
        <v>3172</v>
      </c>
      <c r="C584" s="73"/>
      <c r="D584" s="73"/>
      <c r="E584" s="73"/>
      <c r="F584" s="73"/>
      <c r="G584" s="73"/>
      <c r="H584" s="73"/>
      <c r="I584" s="73"/>
      <c r="J584" s="73"/>
      <c r="K584" s="73"/>
      <c r="L584" s="73"/>
      <c r="M584" s="73"/>
      <c r="N584" s="73"/>
      <c r="O584" s="73"/>
      <c r="P584" s="73"/>
      <c r="Q584" s="73"/>
      <c r="R584" s="73"/>
      <c r="S584" s="73"/>
      <c r="T584" s="73"/>
      <c r="U584" s="74"/>
    </row>
    <row r="585" spans="2:21" s="15" customFormat="1" x14ac:dyDescent="0.25">
      <c r="B585" s="72" t="s">
        <v>3285</v>
      </c>
      <c r="C585" s="73"/>
      <c r="D585" s="73"/>
      <c r="E585" s="73"/>
      <c r="F585" s="73"/>
      <c r="G585" s="73"/>
      <c r="H585" s="73"/>
      <c r="I585" s="73"/>
      <c r="J585" s="73"/>
      <c r="K585" s="73"/>
      <c r="L585" s="73"/>
      <c r="M585" s="73"/>
      <c r="N585" s="73"/>
      <c r="O585" s="73"/>
      <c r="P585" s="73"/>
      <c r="Q585" s="73"/>
      <c r="R585" s="73"/>
      <c r="S585" s="73"/>
      <c r="T585" s="73"/>
      <c r="U585" s="74"/>
    </row>
    <row r="586" spans="2:21" s="15" customFormat="1" x14ac:dyDescent="0.25">
      <c r="B586" s="72" t="s">
        <v>3395</v>
      </c>
      <c r="C586" s="73"/>
      <c r="D586" s="73"/>
      <c r="E586" s="73"/>
      <c r="F586" s="73"/>
      <c r="G586" s="73"/>
      <c r="H586" s="73"/>
      <c r="I586" s="73"/>
      <c r="J586" s="73"/>
      <c r="K586" s="73"/>
      <c r="L586" s="73"/>
      <c r="M586" s="73"/>
      <c r="N586" s="73"/>
      <c r="O586" s="73"/>
      <c r="P586" s="73"/>
      <c r="Q586" s="73"/>
      <c r="R586" s="73"/>
      <c r="S586" s="73"/>
      <c r="T586" s="73"/>
      <c r="U586" s="74"/>
    </row>
    <row r="587" spans="2:21" s="15" customFormat="1" x14ac:dyDescent="0.25">
      <c r="B587" s="72" t="s">
        <v>3287</v>
      </c>
      <c r="C587" s="73"/>
      <c r="D587" s="73"/>
      <c r="E587" s="73"/>
      <c r="F587" s="73"/>
      <c r="G587" s="73"/>
      <c r="H587" s="73"/>
      <c r="I587" s="73"/>
      <c r="J587" s="73"/>
      <c r="K587" s="73"/>
      <c r="L587" s="73"/>
      <c r="M587" s="73"/>
      <c r="N587" s="73"/>
      <c r="O587" s="73"/>
      <c r="P587" s="73"/>
      <c r="Q587" s="73"/>
      <c r="R587" s="73"/>
      <c r="S587" s="73"/>
      <c r="T587" s="73"/>
      <c r="U587" s="74"/>
    </row>
    <row r="588" spans="2:21" s="15" customFormat="1" x14ac:dyDescent="0.25">
      <c r="B588" s="72" t="s">
        <v>3176</v>
      </c>
      <c r="C588" s="73"/>
      <c r="D588" s="73"/>
      <c r="E588" s="73"/>
      <c r="F588" s="73"/>
      <c r="G588" s="73"/>
      <c r="H588" s="73"/>
      <c r="I588" s="73"/>
      <c r="J588" s="73"/>
      <c r="K588" s="73"/>
      <c r="L588" s="73"/>
      <c r="M588" s="73"/>
      <c r="N588" s="73"/>
      <c r="O588" s="73"/>
      <c r="P588" s="73"/>
      <c r="Q588" s="73"/>
      <c r="R588" s="73"/>
      <c r="S588" s="73"/>
      <c r="T588" s="73"/>
      <c r="U588" s="74"/>
    </row>
    <row r="589" spans="2:21" s="15" customFormat="1" x14ac:dyDescent="0.25">
      <c r="B589" s="72" t="s">
        <v>3288</v>
      </c>
      <c r="C589" s="73"/>
      <c r="D589" s="73"/>
      <c r="E589" s="73"/>
      <c r="F589" s="73"/>
      <c r="G589" s="73"/>
      <c r="H589" s="73"/>
      <c r="I589" s="73"/>
      <c r="J589" s="73"/>
      <c r="K589" s="73"/>
      <c r="L589" s="73"/>
      <c r="M589" s="73"/>
      <c r="N589" s="73"/>
      <c r="O589" s="73"/>
      <c r="P589" s="73"/>
      <c r="Q589" s="73"/>
      <c r="R589" s="73"/>
      <c r="S589" s="73"/>
      <c r="T589" s="73"/>
      <c r="U589" s="74"/>
    </row>
    <row r="590" spans="2:21" s="15" customFormat="1" x14ac:dyDescent="0.25">
      <c r="B590" s="72" t="s">
        <v>3289</v>
      </c>
      <c r="C590" s="73"/>
      <c r="D590" s="73"/>
      <c r="E590" s="73"/>
      <c r="F590" s="73"/>
      <c r="G590" s="73"/>
      <c r="H590" s="73"/>
      <c r="I590" s="73"/>
      <c r="J590" s="73"/>
      <c r="K590" s="73"/>
      <c r="L590" s="73"/>
      <c r="M590" s="73"/>
      <c r="N590" s="73"/>
      <c r="O590" s="73"/>
      <c r="P590" s="73"/>
      <c r="Q590" s="73"/>
      <c r="R590" s="73"/>
      <c r="S590" s="73"/>
      <c r="T590" s="73"/>
      <c r="U590" s="74"/>
    </row>
    <row r="591" spans="2:21" s="15" customFormat="1" x14ac:dyDescent="0.25">
      <c r="B591" s="72" t="s">
        <v>3290</v>
      </c>
      <c r="C591" s="73"/>
      <c r="D591" s="73"/>
      <c r="E591" s="73"/>
      <c r="F591" s="73"/>
      <c r="G591" s="73"/>
      <c r="H591" s="73"/>
      <c r="I591" s="73"/>
      <c r="J591" s="73"/>
      <c r="K591" s="73"/>
      <c r="L591" s="73"/>
      <c r="M591" s="73"/>
      <c r="N591" s="73"/>
      <c r="O591" s="73"/>
      <c r="P591" s="73"/>
      <c r="Q591" s="73"/>
      <c r="R591" s="73"/>
      <c r="S591" s="73"/>
      <c r="T591" s="73"/>
      <c r="U591" s="74"/>
    </row>
    <row r="592" spans="2:21" s="15" customFormat="1" x14ac:dyDescent="0.25">
      <c r="B592" s="72" t="s">
        <v>3180</v>
      </c>
      <c r="C592" s="73"/>
      <c r="D592" s="73"/>
      <c r="E592" s="73"/>
      <c r="F592" s="73"/>
      <c r="G592" s="73"/>
      <c r="H592" s="73"/>
      <c r="I592" s="73"/>
      <c r="J592" s="73"/>
      <c r="K592" s="73"/>
      <c r="L592" s="73"/>
      <c r="M592" s="73"/>
      <c r="N592" s="73"/>
      <c r="O592" s="73"/>
      <c r="P592" s="73"/>
      <c r="Q592" s="73"/>
      <c r="R592" s="73"/>
      <c r="S592" s="73"/>
      <c r="T592" s="73"/>
      <c r="U592" s="74"/>
    </row>
    <row r="593" spans="2:21" s="15" customFormat="1" x14ac:dyDescent="0.25">
      <c r="B593" s="72" t="s">
        <v>3181</v>
      </c>
      <c r="C593" s="73"/>
      <c r="D593" s="73"/>
      <c r="E593" s="73"/>
      <c r="F593" s="73"/>
      <c r="G593" s="73"/>
      <c r="H593" s="73"/>
      <c r="I593" s="73"/>
      <c r="J593" s="73"/>
      <c r="K593" s="73"/>
      <c r="L593" s="73"/>
      <c r="M593" s="73"/>
      <c r="N593" s="73"/>
      <c r="O593" s="73"/>
      <c r="P593" s="73"/>
      <c r="Q593" s="73"/>
      <c r="R593" s="73"/>
      <c r="S593" s="73"/>
      <c r="T593" s="73"/>
      <c r="U593" s="74"/>
    </row>
    <row r="594" spans="2:21" s="15" customFormat="1" x14ac:dyDescent="0.25">
      <c r="B594" s="72" t="s">
        <v>3085</v>
      </c>
      <c r="C594" s="73"/>
      <c r="D594" s="73"/>
      <c r="E594" s="73"/>
      <c r="F594" s="73"/>
      <c r="G594" s="73"/>
      <c r="H594" s="73"/>
      <c r="I594" s="73"/>
      <c r="J594" s="73"/>
      <c r="K594" s="73"/>
      <c r="L594" s="73"/>
      <c r="M594" s="73"/>
      <c r="N594" s="73"/>
      <c r="O594" s="73"/>
      <c r="P594" s="73"/>
      <c r="Q594" s="73"/>
      <c r="R594" s="73"/>
      <c r="S594" s="73"/>
      <c r="T594" s="73"/>
      <c r="U594" s="74"/>
    </row>
    <row r="595" spans="2:21" s="15" customFormat="1" x14ac:dyDescent="0.25">
      <c r="B595" s="72" t="s">
        <v>3295</v>
      </c>
      <c r="C595" s="73"/>
      <c r="D595" s="73"/>
      <c r="E595" s="73"/>
      <c r="F595" s="73"/>
      <c r="G595" s="73"/>
      <c r="H595" s="73"/>
      <c r="I595" s="73"/>
      <c r="J595" s="73"/>
      <c r="K595" s="73"/>
      <c r="L595" s="73"/>
      <c r="M595" s="73"/>
      <c r="N595" s="73"/>
      <c r="O595" s="73"/>
      <c r="P595" s="73"/>
      <c r="Q595" s="73"/>
      <c r="R595" s="73"/>
      <c r="S595" s="73"/>
      <c r="T595" s="73"/>
      <c r="U595" s="74"/>
    </row>
    <row r="596" spans="2:21" s="15" customFormat="1" x14ac:dyDescent="0.25">
      <c r="B596" s="72" t="s">
        <v>3167</v>
      </c>
      <c r="C596" s="73"/>
      <c r="D596" s="73"/>
      <c r="E596" s="73"/>
      <c r="F596" s="73"/>
      <c r="G596" s="73"/>
      <c r="H596" s="73"/>
      <c r="I596" s="73"/>
      <c r="J596" s="73"/>
      <c r="K596" s="73"/>
      <c r="L596" s="73"/>
      <c r="M596" s="73"/>
      <c r="N596" s="73"/>
      <c r="O596" s="73"/>
      <c r="P596" s="73"/>
      <c r="Q596" s="73"/>
      <c r="R596" s="73"/>
      <c r="S596" s="73"/>
      <c r="T596" s="73"/>
      <c r="U596" s="74"/>
    </row>
    <row r="597" spans="2:21" s="15" customFormat="1" x14ac:dyDescent="0.25">
      <c r="B597" s="72" t="s">
        <v>3168</v>
      </c>
      <c r="C597" s="73"/>
      <c r="D597" s="73"/>
      <c r="E597" s="73"/>
      <c r="F597" s="73"/>
      <c r="G597" s="73"/>
      <c r="H597" s="73"/>
      <c r="I597" s="73"/>
      <c r="J597" s="73"/>
      <c r="K597" s="73"/>
      <c r="L597" s="73"/>
      <c r="M597" s="73"/>
      <c r="N597" s="73"/>
      <c r="O597" s="73"/>
      <c r="P597" s="73"/>
      <c r="Q597" s="73"/>
      <c r="R597" s="73"/>
      <c r="S597" s="73"/>
      <c r="T597" s="73"/>
      <c r="U597" s="74"/>
    </row>
    <row r="598" spans="2:21" s="15" customFormat="1" x14ac:dyDescent="0.25">
      <c r="B598" s="72" t="s">
        <v>3169</v>
      </c>
      <c r="C598" s="73"/>
      <c r="D598" s="73"/>
      <c r="E598" s="73"/>
      <c r="F598" s="73"/>
      <c r="G598" s="73"/>
      <c r="H598" s="73"/>
      <c r="I598" s="73"/>
      <c r="J598" s="73"/>
      <c r="K598" s="73"/>
      <c r="L598" s="73"/>
      <c r="M598" s="73"/>
      <c r="N598" s="73"/>
      <c r="O598" s="73"/>
      <c r="P598" s="73"/>
      <c r="Q598" s="73"/>
      <c r="R598" s="73"/>
      <c r="S598" s="73"/>
      <c r="T598" s="73"/>
      <c r="U598" s="74"/>
    </row>
    <row r="599" spans="2:21" s="15" customFormat="1" x14ac:dyDescent="0.25">
      <c r="B599" s="72" t="s">
        <v>3283</v>
      </c>
      <c r="C599" s="73"/>
      <c r="D599" s="73"/>
      <c r="E599" s="73"/>
      <c r="F599" s="73"/>
      <c r="G599" s="73"/>
      <c r="H599" s="73"/>
      <c r="I599" s="73"/>
      <c r="J599" s="73"/>
      <c r="K599" s="73"/>
      <c r="L599" s="73"/>
      <c r="M599" s="73"/>
      <c r="N599" s="73"/>
      <c r="O599" s="73"/>
      <c r="P599" s="73"/>
      <c r="Q599" s="73"/>
      <c r="R599" s="73"/>
      <c r="S599" s="73"/>
      <c r="T599" s="73"/>
      <c r="U599" s="74"/>
    </row>
    <row r="600" spans="2:21" s="15" customFormat="1" x14ac:dyDescent="0.25">
      <c r="B600" s="72" t="s">
        <v>3284</v>
      </c>
      <c r="C600" s="73"/>
      <c r="D600" s="73"/>
      <c r="E600" s="73"/>
      <c r="F600" s="73"/>
      <c r="G600" s="73"/>
      <c r="H600" s="73"/>
      <c r="I600" s="73"/>
      <c r="J600" s="73"/>
      <c r="K600" s="73"/>
      <c r="L600" s="73"/>
      <c r="M600" s="73"/>
      <c r="N600" s="73"/>
      <c r="O600" s="73"/>
      <c r="P600" s="73"/>
      <c r="Q600" s="73"/>
      <c r="R600" s="73"/>
      <c r="S600" s="73"/>
      <c r="T600" s="73"/>
      <c r="U600" s="74"/>
    </row>
    <row r="601" spans="2:21" s="15" customFormat="1" x14ac:dyDescent="0.25">
      <c r="B601" s="72" t="s">
        <v>3172</v>
      </c>
      <c r="C601" s="73"/>
      <c r="D601" s="73"/>
      <c r="E601" s="73"/>
      <c r="F601" s="73"/>
      <c r="G601" s="73"/>
      <c r="H601" s="73"/>
      <c r="I601" s="73"/>
      <c r="J601" s="73"/>
      <c r="K601" s="73"/>
      <c r="L601" s="73"/>
      <c r="M601" s="73"/>
      <c r="N601" s="73"/>
      <c r="O601" s="73"/>
      <c r="P601" s="73"/>
      <c r="Q601" s="73"/>
      <c r="R601" s="73"/>
      <c r="S601" s="73"/>
      <c r="T601" s="73"/>
      <c r="U601" s="74"/>
    </row>
    <row r="602" spans="2:21" s="15" customFormat="1" x14ac:dyDescent="0.25">
      <c r="B602" s="72" t="s">
        <v>3285</v>
      </c>
      <c r="C602" s="73"/>
      <c r="D602" s="73"/>
      <c r="E602" s="73"/>
      <c r="F602" s="73"/>
      <c r="G602" s="73"/>
      <c r="H602" s="73"/>
      <c r="I602" s="73"/>
      <c r="J602" s="73"/>
      <c r="K602" s="73"/>
      <c r="L602" s="73"/>
      <c r="M602" s="73"/>
      <c r="N602" s="73"/>
      <c r="O602" s="73"/>
      <c r="P602" s="73"/>
      <c r="Q602" s="73"/>
      <c r="R602" s="73"/>
      <c r="S602" s="73"/>
      <c r="T602" s="73"/>
      <c r="U602" s="74"/>
    </row>
    <row r="603" spans="2:21" s="15" customFormat="1" x14ac:dyDescent="0.25">
      <c r="B603" s="72" t="s">
        <v>3395</v>
      </c>
      <c r="C603" s="73"/>
      <c r="D603" s="73"/>
      <c r="E603" s="73"/>
      <c r="F603" s="73"/>
      <c r="G603" s="73"/>
      <c r="H603" s="73"/>
      <c r="I603" s="73"/>
      <c r="J603" s="73"/>
      <c r="K603" s="73"/>
      <c r="L603" s="73"/>
      <c r="M603" s="73"/>
      <c r="N603" s="73"/>
      <c r="O603" s="73"/>
      <c r="P603" s="73"/>
      <c r="Q603" s="73"/>
      <c r="R603" s="73"/>
      <c r="S603" s="73"/>
      <c r="T603" s="73"/>
      <c r="U603" s="74"/>
    </row>
    <row r="604" spans="2:21" s="15" customFormat="1" x14ac:dyDescent="0.25">
      <c r="B604" s="72" t="s">
        <v>3287</v>
      </c>
      <c r="C604" s="73"/>
      <c r="D604" s="73"/>
      <c r="E604" s="73"/>
      <c r="F604" s="73"/>
      <c r="G604" s="73"/>
      <c r="H604" s="73"/>
      <c r="I604" s="73"/>
      <c r="J604" s="73"/>
      <c r="K604" s="73"/>
      <c r="L604" s="73"/>
      <c r="M604" s="73"/>
      <c r="N604" s="73"/>
      <c r="O604" s="73"/>
      <c r="P604" s="73"/>
      <c r="Q604" s="73"/>
      <c r="R604" s="73"/>
      <c r="S604" s="73"/>
      <c r="T604" s="73"/>
      <c r="U604" s="74"/>
    </row>
    <row r="605" spans="2:21" s="15" customFormat="1" x14ac:dyDescent="0.25">
      <c r="B605" s="72" t="s">
        <v>3176</v>
      </c>
      <c r="C605" s="73"/>
      <c r="D605" s="73"/>
      <c r="E605" s="73"/>
      <c r="F605" s="73"/>
      <c r="G605" s="73"/>
      <c r="H605" s="73"/>
      <c r="I605" s="73"/>
      <c r="J605" s="73"/>
      <c r="K605" s="73"/>
      <c r="L605" s="73"/>
      <c r="M605" s="73"/>
      <c r="N605" s="73"/>
      <c r="O605" s="73"/>
      <c r="P605" s="73"/>
      <c r="Q605" s="73"/>
      <c r="R605" s="73"/>
      <c r="S605" s="73"/>
      <c r="T605" s="73"/>
      <c r="U605" s="74"/>
    </row>
    <row r="606" spans="2:21" s="15" customFormat="1" x14ac:dyDescent="0.25">
      <c r="B606" s="72" t="s">
        <v>3288</v>
      </c>
      <c r="C606" s="73"/>
      <c r="D606" s="73"/>
      <c r="E606" s="73"/>
      <c r="F606" s="73"/>
      <c r="G606" s="73"/>
      <c r="H606" s="73"/>
      <c r="I606" s="73"/>
      <c r="J606" s="73"/>
      <c r="K606" s="73"/>
      <c r="L606" s="73"/>
      <c r="M606" s="73"/>
      <c r="N606" s="73"/>
      <c r="O606" s="73"/>
      <c r="P606" s="73"/>
      <c r="Q606" s="73"/>
      <c r="R606" s="73"/>
      <c r="S606" s="73"/>
      <c r="T606" s="73"/>
      <c r="U606" s="74"/>
    </row>
    <row r="607" spans="2:21" s="15" customFormat="1" x14ac:dyDescent="0.25">
      <c r="B607" s="72" t="s">
        <v>3289</v>
      </c>
      <c r="C607" s="73"/>
      <c r="D607" s="73"/>
      <c r="E607" s="73"/>
      <c r="F607" s="73"/>
      <c r="G607" s="73"/>
      <c r="H607" s="73"/>
      <c r="I607" s="73"/>
      <c r="J607" s="73"/>
      <c r="K607" s="73"/>
      <c r="L607" s="73"/>
      <c r="M607" s="73"/>
      <c r="N607" s="73"/>
      <c r="O607" s="73"/>
      <c r="P607" s="73"/>
      <c r="Q607" s="73"/>
      <c r="R607" s="73"/>
      <c r="S607" s="73"/>
      <c r="T607" s="73"/>
      <c r="U607" s="74"/>
    </row>
    <row r="608" spans="2:21" s="15" customFormat="1" x14ac:dyDescent="0.25">
      <c r="B608" s="72" t="s">
        <v>3179</v>
      </c>
      <c r="C608" s="73"/>
      <c r="D608" s="73"/>
      <c r="E608" s="73"/>
      <c r="F608" s="73"/>
      <c r="G608" s="73"/>
      <c r="H608" s="73"/>
      <c r="I608" s="73"/>
      <c r="J608" s="73"/>
      <c r="K608" s="73"/>
      <c r="L608" s="73"/>
      <c r="M608" s="73"/>
      <c r="N608" s="73"/>
      <c r="O608" s="73"/>
      <c r="P608" s="73"/>
      <c r="Q608" s="73"/>
      <c r="R608" s="73"/>
      <c r="S608" s="73"/>
      <c r="T608" s="73"/>
      <c r="U608" s="74"/>
    </row>
    <row r="609" spans="2:21" s="15" customFormat="1" x14ac:dyDescent="0.25">
      <c r="B609" s="72" t="s">
        <v>3180</v>
      </c>
      <c r="C609" s="73"/>
      <c r="D609" s="73"/>
      <c r="E609" s="73"/>
      <c r="F609" s="73"/>
      <c r="G609" s="73"/>
      <c r="H609" s="73"/>
      <c r="I609" s="73"/>
      <c r="J609" s="73"/>
      <c r="K609" s="73"/>
      <c r="L609" s="73"/>
      <c r="M609" s="73"/>
      <c r="N609" s="73"/>
      <c r="O609" s="73"/>
      <c r="P609" s="73"/>
      <c r="Q609" s="73"/>
      <c r="R609" s="73"/>
      <c r="S609" s="73"/>
      <c r="T609" s="73"/>
      <c r="U609" s="74"/>
    </row>
    <row r="610" spans="2:21" s="15" customFormat="1" x14ac:dyDescent="0.25">
      <c r="B610" s="72" t="s">
        <v>3181</v>
      </c>
      <c r="C610" s="73"/>
      <c r="D610" s="73"/>
      <c r="E610" s="73"/>
      <c r="F610" s="73"/>
      <c r="G610" s="73"/>
      <c r="H610" s="73"/>
      <c r="I610" s="73"/>
      <c r="J610" s="73"/>
      <c r="K610" s="73"/>
      <c r="L610" s="73"/>
      <c r="M610" s="73"/>
      <c r="N610" s="73"/>
      <c r="O610" s="73"/>
      <c r="P610" s="73"/>
      <c r="Q610" s="73"/>
      <c r="R610" s="73"/>
      <c r="S610" s="73"/>
      <c r="T610" s="73"/>
      <c r="U610" s="74"/>
    </row>
    <row r="611" spans="2:21" s="15" customFormat="1" x14ac:dyDescent="0.25">
      <c r="B611" s="72" t="s">
        <v>3085</v>
      </c>
      <c r="C611" s="73"/>
      <c r="D611" s="73"/>
      <c r="E611" s="73"/>
      <c r="F611" s="73"/>
      <c r="G611" s="73"/>
      <c r="H611" s="73"/>
      <c r="I611" s="73"/>
      <c r="J611" s="73"/>
      <c r="K611" s="73"/>
      <c r="L611" s="73"/>
      <c r="M611" s="73"/>
      <c r="N611" s="73"/>
      <c r="O611" s="73"/>
      <c r="P611" s="73"/>
      <c r="Q611" s="73"/>
      <c r="R611" s="73"/>
      <c r="S611" s="73"/>
      <c r="T611" s="73"/>
      <c r="U611" s="74"/>
    </row>
    <row r="612" spans="2:21" s="15" customFormat="1" x14ac:dyDescent="0.25">
      <c r="B612" s="72" t="s">
        <v>3396</v>
      </c>
      <c r="C612" s="73"/>
      <c r="D612" s="73"/>
      <c r="E612" s="73"/>
      <c r="F612" s="73"/>
      <c r="G612" s="73"/>
      <c r="H612" s="73"/>
      <c r="I612" s="73"/>
      <c r="J612" s="73"/>
      <c r="K612" s="73"/>
      <c r="L612" s="73"/>
      <c r="M612" s="73"/>
      <c r="N612" s="73"/>
      <c r="O612" s="73"/>
      <c r="P612" s="73"/>
      <c r="Q612" s="73"/>
      <c r="R612" s="73"/>
      <c r="S612" s="73"/>
      <c r="T612" s="73"/>
      <c r="U612" s="74"/>
    </row>
    <row r="613" spans="2:21" s="15" customFormat="1" x14ac:dyDescent="0.25">
      <c r="B613" s="72" t="s">
        <v>3183</v>
      </c>
      <c r="C613" s="73"/>
      <c r="D613" s="73"/>
      <c r="E613" s="73"/>
      <c r="F613" s="73"/>
      <c r="G613" s="73"/>
      <c r="H613" s="73"/>
      <c r="I613" s="73"/>
      <c r="J613" s="73"/>
      <c r="K613" s="73"/>
      <c r="L613" s="73"/>
      <c r="M613" s="73"/>
      <c r="N613" s="73"/>
      <c r="O613" s="73"/>
      <c r="P613" s="73"/>
      <c r="Q613" s="73"/>
      <c r="R613" s="73"/>
      <c r="S613" s="73"/>
      <c r="T613" s="73"/>
      <c r="U613" s="74"/>
    </row>
    <row r="614" spans="2:21" s="15" customFormat="1" x14ac:dyDescent="0.25">
      <c r="B614" s="72" t="s">
        <v>3394</v>
      </c>
      <c r="C614" s="73"/>
      <c r="D614" s="73"/>
      <c r="E614" s="73"/>
      <c r="F614" s="73"/>
      <c r="G614" s="73"/>
      <c r="H614" s="73"/>
      <c r="I614" s="73"/>
      <c r="J614" s="73"/>
      <c r="K614" s="73"/>
      <c r="L614" s="73"/>
      <c r="M614" s="73"/>
      <c r="N614" s="73"/>
      <c r="O614" s="73"/>
      <c r="P614" s="73"/>
      <c r="Q614" s="73"/>
      <c r="R614" s="73"/>
      <c r="S614" s="73"/>
      <c r="T614" s="73"/>
      <c r="U614" s="74"/>
    </row>
    <row r="615" spans="2:21" s="15" customFormat="1" x14ac:dyDescent="0.25">
      <c r="B615" s="72" t="s">
        <v>3169</v>
      </c>
      <c r="C615" s="73"/>
      <c r="D615" s="73"/>
      <c r="E615" s="73"/>
      <c r="F615" s="73"/>
      <c r="G615" s="73"/>
      <c r="H615" s="73"/>
      <c r="I615" s="73"/>
      <c r="J615" s="73"/>
      <c r="K615" s="73"/>
      <c r="L615" s="73"/>
      <c r="M615" s="73"/>
      <c r="N615" s="73"/>
      <c r="O615" s="73"/>
      <c r="P615" s="73"/>
      <c r="Q615" s="73"/>
      <c r="R615" s="73"/>
      <c r="S615" s="73"/>
      <c r="T615" s="73"/>
      <c r="U615" s="74"/>
    </row>
    <row r="616" spans="2:21" s="15" customFormat="1" x14ac:dyDescent="0.25">
      <c r="B616" s="72" t="s">
        <v>3283</v>
      </c>
      <c r="C616" s="73"/>
      <c r="D616" s="73"/>
      <c r="E616" s="73"/>
      <c r="F616" s="73"/>
      <c r="G616" s="73"/>
      <c r="H616" s="73"/>
      <c r="I616" s="73"/>
      <c r="J616" s="73"/>
      <c r="K616" s="73"/>
      <c r="L616" s="73"/>
      <c r="M616" s="73"/>
      <c r="N616" s="73"/>
      <c r="O616" s="73"/>
      <c r="P616" s="73"/>
      <c r="Q616" s="73"/>
      <c r="R616" s="73"/>
      <c r="S616" s="73"/>
      <c r="T616" s="73"/>
      <c r="U616" s="74"/>
    </row>
    <row r="617" spans="2:21" s="15" customFormat="1" x14ac:dyDescent="0.25">
      <c r="B617" s="72" t="s">
        <v>3284</v>
      </c>
      <c r="C617" s="73"/>
      <c r="D617" s="73"/>
      <c r="E617" s="73"/>
      <c r="F617" s="73"/>
      <c r="G617" s="73"/>
      <c r="H617" s="73"/>
      <c r="I617" s="73"/>
      <c r="J617" s="73"/>
      <c r="K617" s="73"/>
      <c r="L617" s="73"/>
      <c r="M617" s="73"/>
      <c r="N617" s="73"/>
      <c r="O617" s="73"/>
      <c r="P617" s="73"/>
      <c r="Q617" s="73"/>
      <c r="R617" s="73"/>
      <c r="S617" s="73"/>
      <c r="T617" s="73"/>
      <c r="U617" s="74"/>
    </row>
    <row r="618" spans="2:21" s="15" customFormat="1" x14ac:dyDescent="0.25">
      <c r="B618" s="72" t="s">
        <v>3172</v>
      </c>
      <c r="C618" s="73"/>
      <c r="D618" s="73"/>
      <c r="E618" s="73"/>
      <c r="F618" s="73"/>
      <c r="G618" s="73"/>
      <c r="H618" s="73"/>
      <c r="I618" s="73"/>
      <c r="J618" s="73"/>
      <c r="K618" s="73"/>
      <c r="L618" s="73"/>
      <c r="M618" s="73"/>
      <c r="N618" s="73"/>
      <c r="O618" s="73"/>
      <c r="P618" s="73"/>
      <c r="Q618" s="73"/>
      <c r="R618" s="73"/>
      <c r="S618" s="73"/>
      <c r="T618" s="73"/>
      <c r="U618" s="74"/>
    </row>
    <row r="619" spans="2:21" s="15" customFormat="1" x14ac:dyDescent="0.25">
      <c r="B619" s="72" t="s">
        <v>3285</v>
      </c>
      <c r="C619" s="73"/>
      <c r="D619" s="73"/>
      <c r="E619" s="73"/>
      <c r="F619" s="73"/>
      <c r="G619" s="73"/>
      <c r="H619" s="73"/>
      <c r="I619" s="73"/>
      <c r="J619" s="73"/>
      <c r="K619" s="73"/>
      <c r="L619" s="73"/>
      <c r="M619" s="73"/>
      <c r="N619" s="73"/>
      <c r="O619" s="73"/>
      <c r="P619" s="73"/>
      <c r="Q619" s="73"/>
      <c r="R619" s="73"/>
      <c r="S619" s="73"/>
      <c r="T619" s="73"/>
      <c r="U619" s="74"/>
    </row>
    <row r="620" spans="2:21" s="15" customFormat="1" x14ac:dyDescent="0.25">
      <c r="B620" s="72" t="s">
        <v>3391</v>
      </c>
      <c r="C620" s="73"/>
      <c r="D620" s="73"/>
      <c r="E620" s="73"/>
      <c r="F620" s="73"/>
      <c r="G620" s="73"/>
      <c r="H620" s="73"/>
      <c r="I620" s="73"/>
      <c r="J620" s="73"/>
      <c r="K620" s="73"/>
      <c r="L620" s="73"/>
      <c r="M620" s="73"/>
      <c r="N620" s="73"/>
      <c r="O620" s="73"/>
      <c r="P620" s="73"/>
      <c r="Q620" s="73"/>
      <c r="R620" s="73"/>
      <c r="S620" s="73"/>
      <c r="T620" s="73"/>
      <c r="U620" s="74"/>
    </row>
    <row r="621" spans="2:21" s="15" customFormat="1" x14ac:dyDescent="0.25">
      <c r="B621" s="72" t="s">
        <v>3287</v>
      </c>
      <c r="C621" s="73"/>
      <c r="D621" s="73"/>
      <c r="E621" s="73"/>
      <c r="F621" s="73"/>
      <c r="G621" s="73"/>
      <c r="H621" s="73"/>
      <c r="I621" s="73"/>
      <c r="J621" s="73"/>
      <c r="K621" s="73"/>
      <c r="L621" s="73"/>
      <c r="M621" s="73"/>
      <c r="N621" s="73"/>
      <c r="O621" s="73"/>
      <c r="P621" s="73"/>
      <c r="Q621" s="73"/>
      <c r="R621" s="73"/>
      <c r="S621" s="73"/>
      <c r="T621" s="73"/>
      <c r="U621" s="74"/>
    </row>
    <row r="622" spans="2:21" s="15" customFormat="1" x14ac:dyDescent="0.25">
      <c r="B622" s="72" t="s">
        <v>3176</v>
      </c>
      <c r="C622" s="73"/>
      <c r="D622" s="73"/>
      <c r="E622" s="73"/>
      <c r="F622" s="73"/>
      <c r="G622" s="73"/>
      <c r="H622" s="73"/>
      <c r="I622" s="73"/>
      <c r="J622" s="73"/>
      <c r="K622" s="73"/>
      <c r="L622" s="73"/>
      <c r="M622" s="73"/>
      <c r="N622" s="73"/>
      <c r="O622" s="73"/>
      <c r="P622" s="73"/>
      <c r="Q622" s="73"/>
      <c r="R622" s="73"/>
      <c r="S622" s="73"/>
      <c r="T622" s="73"/>
      <c r="U622" s="74"/>
    </row>
    <row r="623" spans="2:21" s="15" customFormat="1" x14ac:dyDescent="0.25">
      <c r="B623" s="72" t="s">
        <v>3288</v>
      </c>
      <c r="C623" s="73"/>
      <c r="D623" s="73"/>
      <c r="E623" s="73"/>
      <c r="F623" s="73"/>
      <c r="G623" s="73"/>
      <c r="H623" s="73"/>
      <c r="I623" s="73"/>
      <c r="J623" s="73"/>
      <c r="K623" s="73"/>
      <c r="L623" s="73"/>
      <c r="M623" s="73"/>
      <c r="N623" s="73"/>
      <c r="O623" s="73"/>
      <c r="P623" s="73"/>
      <c r="Q623" s="73"/>
      <c r="R623" s="73"/>
      <c r="S623" s="73"/>
      <c r="T623" s="73"/>
      <c r="U623" s="74"/>
    </row>
    <row r="624" spans="2:21" s="15" customFormat="1" x14ac:dyDescent="0.25">
      <c r="B624" s="72" t="s">
        <v>3289</v>
      </c>
      <c r="C624" s="73"/>
      <c r="D624" s="73"/>
      <c r="E624" s="73"/>
      <c r="F624" s="73"/>
      <c r="G624" s="73"/>
      <c r="H624" s="73"/>
      <c r="I624" s="73"/>
      <c r="J624" s="73"/>
      <c r="K624" s="73"/>
      <c r="L624" s="73"/>
      <c r="M624" s="73"/>
      <c r="N624" s="73"/>
      <c r="O624" s="73"/>
      <c r="P624" s="73"/>
      <c r="Q624" s="73"/>
      <c r="R624" s="73"/>
      <c r="S624" s="73"/>
      <c r="T624" s="73"/>
      <c r="U624" s="74"/>
    </row>
    <row r="625" spans="2:21" s="15" customFormat="1" x14ac:dyDescent="0.25">
      <c r="B625" s="72" t="s">
        <v>3294</v>
      </c>
      <c r="C625" s="73"/>
      <c r="D625" s="73"/>
      <c r="E625" s="73"/>
      <c r="F625" s="73"/>
      <c r="G625" s="73"/>
      <c r="H625" s="73"/>
      <c r="I625" s="73"/>
      <c r="J625" s="73"/>
      <c r="K625" s="73"/>
      <c r="L625" s="73"/>
      <c r="M625" s="73"/>
      <c r="N625" s="73"/>
      <c r="O625" s="73"/>
      <c r="P625" s="73"/>
      <c r="Q625" s="73"/>
      <c r="R625" s="73"/>
      <c r="S625" s="73"/>
      <c r="T625" s="73"/>
      <c r="U625" s="74"/>
    </row>
    <row r="626" spans="2:21" s="15" customFormat="1" x14ac:dyDescent="0.25">
      <c r="B626" s="72" t="s">
        <v>3180</v>
      </c>
      <c r="C626" s="73"/>
      <c r="D626" s="73"/>
      <c r="E626" s="73"/>
      <c r="F626" s="73"/>
      <c r="G626" s="73"/>
      <c r="H626" s="73"/>
      <c r="I626" s="73"/>
      <c r="J626" s="73"/>
      <c r="K626" s="73"/>
      <c r="L626" s="73"/>
      <c r="M626" s="73"/>
      <c r="N626" s="73"/>
      <c r="O626" s="73"/>
      <c r="P626" s="73"/>
      <c r="Q626" s="73"/>
      <c r="R626" s="73"/>
      <c r="S626" s="73"/>
      <c r="T626" s="73"/>
      <c r="U626" s="74"/>
    </row>
    <row r="627" spans="2:21" s="15" customFormat="1" x14ac:dyDescent="0.25">
      <c r="B627" s="72" t="s">
        <v>3181</v>
      </c>
      <c r="C627" s="73"/>
      <c r="D627" s="73"/>
      <c r="E627" s="73"/>
      <c r="F627" s="73"/>
      <c r="G627" s="73"/>
      <c r="H627" s="73"/>
      <c r="I627" s="73"/>
      <c r="J627" s="73"/>
      <c r="K627" s="73"/>
      <c r="L627" s="73"/>
      <c r="M627" s="73"/>
      <c r="N627" s="73"/>
      <c r="O627" s="73"/>
      <c r="P627" s="73"/>
      <c r="Q627" s="73"/>
      <c r="R627" s="73"/>
      <c r="S627" s="73"/>
      <c r="T627" s="73"/>
      <c r="U627" s="74"/>
    </row>
    <row r="628" spans="2:21" s="15" customFormat="1" x14ac:dyDescent="0.25">
      <c r="B628" s="72" t="s">
        <v>3085</v>
      </c>
      <c r="C628" s="73"/>
      <c r="D628" s="73"/>
      <c r="E628" s="73"/>
      <c r="F628" s="73"/>
      <c r="G628" s="73"/>
      <c r="H628" s="73"/>
      <c r="I628" s="73"/>
      <c r="J628" s="73"/>
      <c r="K628" s="73"/>
      <c r="L628" s="73"/>
      <c r="M628" s="73"/>
      <c r="N628" s="73"/>
      <c r="O628" s="73"/>
      <c r="P628" s="73"/>
      <c r="Q628" s="73"/>
      <c r="R628" s="73"/>
      <c r="S628" s="73"/>
      <c r="T628" s="73"/>
      <c r="U628" s="74"/>
    </row>
    <row r="629" spans="2:21" s="15" customFormat="1" x14ac:dyDescent="0.25">
      <c r="B629" s="72" t="s">
        <v>3396</v>
      </c>
      <c r="C629" s="73"/>
      <c r="D629" s="73"/>
      <c r="E629" s="73"/>
      <c r="F629" s="73"/>
      <c r="G629" s="73"/>
      <c r="H629" s="73"/>
      <c r="I629" s="73"/>
      <c r="J629" s="73"/>
      <c r="K629" s="73"/>
      <c r="L629" s="73"/>
      <c r="M629" s="73"/>
      <c r="N629" s="73"/>
      <c r="O629" s="73"/>
      <c r="P629" s="73"/>
      <c r="Q629" s="73"/>
      <c r="R629" s="73"/>
      <c r="S629" s="73"/>
      <c r="T629" s="73"/>
      <c r="U629" s="74"/>
    </row>
    <row r="630" spans="2:21" s="15" customFormat="1" x14ac:dyDescent="0.25">
      <c r="B630" s="72" t="s">
        <v>3203</v>
      </c>
      <c r="C630" s="73"/>
      <c r="D630" s="73"/>
      <c r="E630" s="73"/>
      <c r="F630" s="73"/>
      <c r="G630" s="73"/>
      <c r="H630" s="73"/>
      <c r="I630" s="73"/>
      <c r="J630" s="73"/>
      <c r="K630" s="73"/>
      <c r="L630" s="73"/>
      <c r="M630" s="73"/>
      <c r="N630" s="73"/>
      <c r="O630" s="73"/>
      <c r="P630" s="73"/>
      <c r="Q630" s="73"/>
      <c r="R630" s="73"/>
      <c r="S630" s="73"/>
      <c r="T630" s="73"/>
      <c r="U630" s="74"/>
    </row>
    <row r="631" spans="2:21" s="15" customFormat="1" x14ac:dyDescent="0.25">
      <c r="B631" s="72" t="s">
        <v>3168</v>
      </c>
      <c r="C631" s="73"/>
      <c r="D631" s="73"/>
      <c r="E631" s="73"/>
      <c r="F631" s="73"/>
      <c r="G631" s="73"/>
      <c r="H631" s="73"/>
      <c r="I631" s="73"/>
      <c r="J631" s="73"/>
      <c r="K631" s="73"/>
      <c r="L631" s="73"/>
      <c r="M631" s="73"/>
      <c r="N631" s="73"/>
      <c r="O631" s="73"/>
      <c r="P631" s="73"/>
      <c r="Q631" s="73"/>
      <c r="R631" s="73"/>
      <c r="S631" s="73"/>
      <c r="T631" s="73"/>
      <c r="U631" s="74"/>
    </row>
    <row r="632" spans="2:21" s="15" customFormat="1" x14ac:dyDescent="0.25">
      <c r="B632" s="72" t="s">
        <v>3169</v>
      </c>
      <c r="C632" s="73"/>
      <c r="D632" s="73"/>
      <c r="E632" s="73"/>
      <c r="F632" s="73"/>
      <c r="G632" s="73"/>
      <c r="H632" s="73"/>
      <c r="I632" s="73"/>
      <c r="J632" s="73"/>
      <c r="K632" s="73"/>
      <c r="L632" s="73"/>
      <c r="M632" s="73"/>
      <c r="N632" s="73"/>
      <c r="O632" s="73"/>
      <c r="P632" s="73"/>
      <c r="Q632" s="73"/>
      <c r="R632" s="73"/>
      <c r="S632" s="73"/>
      <c r="T632" s="73"/>
      <c r="U632" s="74"/>
    </row>
    <row r="633" spans="2:21" s="15" customFormat="1" x14ac:dyDescent="0.25">
      <c r="B633" s="72" t="s">
        <v>3283</v>
      </c>
      <c r="C633" s="73"/>
      <c r="D633" s="73"/>
      <c r="E633" s="73"/>
      <c r="F633" s="73"/>
      <c r="G633" s="73"/>
      <c r="H633" s="73"/>
      <c r="I633" s="73"/>
      <c r="J633" s="73"/>
      <c r="K633" s="73"/>
      <c r="L633" s="73"/>
      <c r="M633" s="73"/>
      <c r="N633" s="73"/>
      <c r="O633" s="73"/>
      <c r="P633" s="73"/>
      <c r="Q633" s="73"/>
      <c r="R633" s="73"/>
      <c r="S633" s="73"/>
      <c r="T633" s="73"/>
      <c r="U633" s="74"/>
    </row>
    <row r="634" spans="2:21" s="15" customFormat="1" x14ac:dyDescent="0.25">
      <c r="B634" s="72" t="s">
        <v>3284</v>
      </c>
      <c r="C634" s="73"/>
      <c r="D634" s="73"/>
      <c r="E634" s="73"/>
      <c r="F634" s="73"/>
      <c r="G634" s="73"/>
      <c r="H634" s="73"/>
      <c r="I634" s="73"/>
      <c r="J634" s="73"/>
      <c r="K634" s="73"/>
      <c r="L634" s="73"/>
      <c r="M634" s="73"/>
      <c r="N634" s="73"/>
      <c r="O634" s="73"/>
      <c r="P634" s="73"/>
      <c r="Q634" s="73"/>
      <c r="R634" s="73"/>
      <c r="S634" s="73"/>
      <c r="T634" s="73"/>
      <c r="U634" s="74"/>
    </row>
    <row r="635" spans="2:21" s="15" customFormat="1" x14ac:dyDescent="0.25">
      <c r="B635" s="72" t="s">
        <v>3172</v>
      </c>
      <c r="C635" s="73"/>
      <c r="D635" s="73"/>
      <c r="E635" s="73"/>
      <c r="F635" s="73"/>
      <c r="G635" s="73"/>
      <c r="H635" s="73"/>
      <c r="I635" s="73"/>
      <c r="J635" s="73"/>
      <c r="K635" s="73"/>
      <c r="L635" s="73"/>
      <c r="M635" s="73"/>
      <c r="N635" s="73"/>
      <c r="O635" s="73"/>
      <c r="P635" s="73"/>
      <c r="Q635" s="73"/>
      <c r="R635" s="73"/>
      <c r="S635" s="73"/>
      <c r="T635" s="73"/>
      <c r="U635" s="74"/>
    </row>
    <row r="636" spans="2:21" s="15" customFormat="1" x14ac:dyDescent="0.25">
      <c r="B636" s="72" t="s">
        <v>3285</v>
      </c>
      <c r="C636" s="73"/>
      <c r="D636" s="73"/>
      <c r="E636" s="73"/>
      <c r="F636" s="73"/>
      <c r="G636" s="73"/>
      <c r="H636" s="73"/>
      <c r="I636" s="73"/>
      <c r="J636" s="73"/>
      <c r="K636" s="73"/>
      <c r="L636" s="73"/>
      <c r="M636" s="73"/>
      <c r="N636" s="73"/>
      <c r="O636" s="73"/>
      <c r="P636" s="73"/>
      <c r="Q636" s="73"/>
      <c r="R636" s="73"/>
      <c r="S636" s="73"/>
      <c r="T636" s="73"/>
      <c r="U636" s="74"/>
    </row>
    <row r="637" spans="2:21" s="15" customFormat="1" x14ac:dyDescent="0.25">
      <c r="B637" s="72" t="s">
        <v>3391</v>
      </c>
      <c r="C637" s="73"/>
      <c r="D637" s="73"/>
      <c r="E637" s="73"/>
      <c r="F637" s="73"/>
      <c r="G637" s="73"/>
      <c r="H637" s="73"/>
      <c r="I637" s="73"/>
      <c r="J637" s="73"/>
      <c r="K637" s="73"/>
      <c r="L637" s="73"/>
      <c r="M637" s="73"/>
      <c r="N637" s="73"/>
      <c r="O637" s="73"/>
      <c r="P637" s="73"/>
      <c r="Q637" s="73"/>
      <c r="R637" s="73"/>
      <c r="S637" s="73"/>
      <c r="T637" s="73"/>
      <c r="U637" s="74"/>
    </row>
    <row r="638" spans="2:21" s="15" customFormat="1" x14ac:dyDescent="0.25">
      <c r="B638" s="72" t="s">
        <v>3287</v>
      </c>
      <c r="C638" s="73"/>
      <c r="D638" s="73"/>
      <c r="E638" s="73"/>
      <c r="F638" s="73"/>
      <c r="G638" s="73"/>
      <c r="H638" s="73"/>
      <c r="I638" s="73"/>
      <c r="J638" s="73"/>
      <c r="K638" s="73"/>
      <c r="L638" s="73"/>
      <c r="M638" s="73"/>
      <c r="N638" s="73"/>
      <c r="O638" s="73"/>
      <c r="P638" s="73"/>
      <c r="Q638" s="73"/>
      <c r="R638" s="73"/>
      <c r="S638" s="73"/>
      <c r="T638" s="73"/>
      <c r="U638" s="74"/>
    </row>
    <row r="639" spans="2:21" s="15" customFormat="1" x14ac:dyDescent="0.25">
      <c r="B639" s="72" t="s">
        <v>3176</v>
      </c>
      <c r="C639" s="73"/>
      <c r="D639" s="73"/>
      <c r="E639" s="73"/>
      <c r="F639" s="73"/>
      <c r="G639" s="73"/>
      <c r="H639" s="73"/>
      <c r="I639" s="73"/>
      <c r="J639" s="73"/>
      <c r="K639" s="73"/>
      <c r="L639" s="73"/>
      <c r="M639" s="73"/>
      <c r="N639" s="73"/>
      <c r="O639" s="73"/>
      <c r="P639" s="73"/>
      <c r="Q639" s="73"/>
      <c r="R639" s="73"/>
      <c r="S639" s="73"/>
      <c r="T639" s="73"/>
      <c r="U639" s="74"/>
    </row>
    <row r="640" spans="2:21" s="15" customFormat="1" x14ac:dyDescent="0.25">
      <c r="B640" s="72" t="s">
        <v>3288</v>
      </c>
      <c r="C640" s="73"/>
      <c r="D640" s="73"/>
      <c r="E640" s="73"/>
      <c r="F640" s="73"/>
      <c r="G640" s="73"/>
      <c r="H640" s="73"/>
      <c r="I640" s="73"/>
      <c r="J640" s="73"/>
      <c r="K640" s="73"/>
      <c r="L640" s="73"/>
      <c r="M640" s="73"/>
      <c r="N640" s="73"/>
      <c r="O640" s="73"/>
      <c r="P640" s="73"/>
      <c r="Q640" s="73"/>
      <c r="R640" s="73"/>
      <c r="S640" s="73"/>
      <c r="T640" s="73"/>
      <c r="U640" s="74"/>
    </row>
    <row r="641" spans="2:21" s="15" customFormat="1" x14ac:dyDescent="0.25">
      <c r="B641" s="72" t="s">
        <v>3289</v>
      </c>
      <c r="C641" s="73"/>
      <c r="D641" s="73"/>
      <c r="E641" s="73"/>
      <c r="F641" s="73"/>
      <c r="G641" s="73"/>
      <c r="H641" s="73"/>
      <c r="I641" s="73"/>
      <c r="J641" s="73"/>
      <c r="K641" s="73"/>
      <c r="L641" s="73"/>
      <c r="M641" s="73"/>
      <c r="N641" s="73"/>
      <c r="O641" s="73"/>
      <c r="P641" s="73"/>
      <c r="Q641" s="73"/>
      <c r="R641" s="73"/>
      <c r="S641" s="73"/>
      <c r="T641" s="73"/>
      <c r="U641" s="74"/>
    </row>
    <row r="642" spans="2:21" s="15" customFormat="1" x14ac:dyDescent="0.25">
      <c r="B642" s="72" t="s">
        <v>3294</v>
      </c>
      <c r="C642" s="73"/>
      <c r="D642" s="73"/>
      <c r="E642" s="73"/>
      <c r="F642" s="73"/>
      <c r="G642" s="73"/>
      <c r="H642" s="73"/>
      <c r="I642" s="73"/>
      <c r="J642" s="73"/>
      <c r="K642" s="73"/>
      <c r="L642" s="73"/>
      <c r="M642" s="73"/>
      <c r="N642" s="73"/>
      <c r="O642" s="73"/>
      <c r="P642" s="73"/>
      <c r="Q642" s="73"/>
      <c r="R642" s="73"/>
      <c r="S642" s="73"/>
      <c r="T642" s="73"/>
      <c r="U642" s="74"/>
    </row>
    <row r="643" spans="2:21" s="15" customFormat="1" x14ac:dyDescent="0.25">
      <c r="B643" s="72" t="s">
        <v>3180</v>
      </c>
      <c r="C643" s="73"/>
      <c r="D643" s="73"/>
      <c r="E643" s="73"/>
      <c r="F643" s="73"/>
      <c r="G643" s="73"/>
      <c r="H643" s="73"/>
      <c r="I643" s="73"/>
      <c r="J643" s="73"/>
      <c r="K643" s="73"/>
      <c r="L643" s="73"/>
      <c r="M643" s="73"/>
      <c r="N643" s="73"/>
      <c r="O643" s="73"/>
      <c r="P643" s="73"/>
      <c r="Q643" s="73"/>
      <c r="R643" s="73"/>
      <c r="S643" s="73"/>
      <c r="T643" s="73"/>
      <c r="U643" s="74"/>
    </row>
    <row r="644" spans="2:21" s="15" customFormat="1" x14ac:dyDescent="0.25">
      <c r="B644" s="72" t="s">
        <v>3181</v>
      </c>
      <c r="C644" s="73"/>
      <c r="D644" s="73"/>
      <c r="E644" s="73"/>
      <c r="F644" s="73"/>
      <c r="G644" s="73"/>
      <c r="H644" s="73"/>
      <c r="I644" s="73"/>
      <c r="J644" s="73"/>
      <c r="K644" s="73"/>
      <c r="L644" s="73"/>
      <c r="M644" s="73"/>
      <c r="N644" s="73"/>
      <c r="O644" s="73"/>
      <c r="P644" s="73"/>
      <c r="Q644" s="73"/>
      <c r="R644" s="73"/>
      <c r="S644" s="73"/>
      <c r="T644" s="73"/>
      <c r="U644" s="74"/>
    </row>
    <row r="645" spans="2:21" s="15" customFormat="1" x14ac:dyDescent="0.25">
      <c r="B645" s="72" t="s">
        <v>3085</v>
      </c>
      <c r="C645" s="73"/>
      <c r="D645" s="73"/>
      <c r="E645" s="73"/>
      <c r="F645" s="73"/>
      <c r="G645" s="73"/>
      <c r="H645" s="73"/>
      <c r="I645" s="73"/>
      <c r="J645" s="73"/>
      <c r="K645" s="73"/>
      <c r="L645" s="73"/>
      <c r="M645" s="73"/>
      <c r="N645" s="73"/>
      <c r="O645" s="73"/>
      <c r="P645" s="73"/>
      <c r="Q645" s="73"/>
      <c r="R645" s="73"/>
      <c r="S645" s="73"/>
      <c r="T645" s="73"/>
      <c r="U645" s="74"/>
    </row>
    <row r="646" spans="2:21" s="15" customFormat="1" x14ac:dyDescent="0.25">
      <c r="B646" s="72" t="s">
        <v>3396</v>
      </c>
      <c r="C646" s="73"/>
      <c r="D646" s="73"/>
      <c r="E646" s="73"/>
      <c r="F646" s="73"/>
      <c r="G646" s="73"/>
      <c r="H646" s="73"/>
      <c r="I646" s="73"/>
      <c r="J646" s="73"/>
      <c r="K646" s="73"/>
      <c r="L646" s="73"/>
      <c r="M646" s="73"/>
      <c r="N646" s="73"/>
      <c r="O646" s="73"/>
      <c r="P646" s="73"/>
      <c r="Q646" s="73"/>
      <c r="R646" s="73"/>
      <c r="S646" s="73"/>
      <c r="T646" s="73"/>
      <c r="U646" s="74"/>
    </row>
    <row r="647" spans="2:21" s="15" customFormat="1" x14ac:dyDescent="0.25">
      <c r="B647" s="72" t="s">
        <v>3167</v>
      </c>
      <c r="C647" s="73"/>
      <c r="D647" s="73"/>
      <c r="E647" s="73"/>
      <c r="F647" s="73"/>
      <c r="G647" s="73"/>
      <c r="H647" s="73"/>
      <c r="I647" s="73"/>
      <c r="J647" s="73"/>
      <c r="K647" s="73"/>
      <c r="L647" s="73"/>
      <c r="M647" s="73"/>
      <c r="N647" s="73"/>
      <c r="O647" s="73"/>
      <c r="P647" s="73"/>
      <c r="Q647" s="73"/>
      <c r="R647" s="73"/>
      <c r="S647" s="73"/>
      <c r="T647" s="73"/>
      <c r="U647" s="74"/>
    </row>
    <row r="648" spans="2:21" s="15" customFormat="1" x14ac:dyDescent="0.25">
      <c r="B648" s="72" t="s">
        <v>3168</v>
      </c>
      <c r="C648" s="73"/>
      <c r="D648" s="73"/>
      <c r="E648" s="73"/>
      <c r="F648" s="73"/>
      <c r="G648" s="73"/>
      <c r="H648" s="73"/>
      <c r="I648" s="73"/>
      <c r="J648" s="73"/>
      <c r="K648" s="73"/>
      <c r="L648" s="73"/>
      <c r="M648" s="73"/>
      <c r="N648" s="73"/>
      <c r="O648" s="73"/>
      <c r="P648" s="73"/>
      <c r="Q648" s="73"/>
      <c r="R648" s="73"/>
      <c r="S648" s="73"/>
      <c r="T648" s="73"/>
      <c r="U648" s="74"/>
    </row>
    <row r="649" spans="2:21" s="15" customFormat="1" x14ac:dyDescent="0.25">
      <c r="B649" s="72" t="s">
        <v>3169</v>
      </c>
      <c r="C649" s="73"/>
      <c r="D649" s="73"/>
      <c r="E649" s="73"/>
      <c r="F649" s="73"/>
      <c r="G649" s="73"/>
      <c r="H649" s="73"/>
      <c r="I649" s="73"/>
      <c r="J649" s="73"/>
      <c r="K649" s="73"/>
      <c r="L649" s="73"/>
      <c r="M649" s="73"/>
      <c r="N649" s="73"/>
      <c r="O649" s="73"/>
      <c r="P649" s="73"/>
      <c r="Q649" s="73"/>
      <c r="R649" s="73"/>
      <c r="S649" s="73"/>
      <c r="T649" s="73"/>
      <c r="U649" s="74"/>
    </row>
    <row r="650" spans="2:21" s="15" customFormat="1" x14ac:dyDescent="0.25">
      <c r="B650" s="72" t="s">
        <v>3283</v>
      </c>
      <c r="C650" s="73"/>
      <c r="D650" s="73"/>
      <c r="E650" s="73"/>
      <c r="F650" s="73"/>
      <c r="G650" s="73"/>
      <c r="H650" s="73"/>
      <c r="I650" s="73"/>
      <c r="J650" s="73"/>
      <c r="K650" s="73"/>
      <c r="L650" s="73"/>
      <c r="M650" s="73"/>
      <c r="N650" s="73"/>
      <c r="O650" s="73"/>
      <c r="P650" s="73"/>
      <c r="Q650" s="73"/>
      <c r="R650" s="73"/>
      <c r="S650" s="73"/>
      <c r="T650" s="73"/>
      <c r="U650" s="74"/>
    </row>
    <row r="651" spans="2:21" s="15" customFormat="1" x14ac:dyDescent="0.25">
      <c r="B651" s="72" t="s">
        <v>3284</v>
      </c>
      <c r="C651" s="73"/>
      <c r="D651" s="73"/>
      <c r="E651" s="73"/>
      <c r="F651" s="73"/>
      <c r="G651" s="73"/>
      <c r="H651" s="73"/>
      <c r="I651" s="73"/>
      <c r="J651" s="73"/>
      <c r="K651" s="73"/>
      <c r="L651" s="73"/>
      <c r="M651" s="73"/>
      <c r="N651" s="73"/>
      <c r="O651" s="73"/>
      <c r="P651" s="73"/>
      <c r="Q651" s="73"/>
      <c r="R651" s="73"/>
      <c r="S651" s="73"/>
      <c r="T651" s="73"/>
      <c r="U651" s="74"/>
    </row>
    <row r="652" spans="2:21" s="15" customFormat="1" x14ac:dyDescent="0.25">
      <c r="B652" s="72" t="s">
        <v>3172</v>
      </c>
      <c r="C652" s="73"/>
      <c r="D652" s="73"/>
      <c r="E652" s="73"/>
      <c r="F652" s="73"/>
      <c r="G652" s="73"/>
      <c r="H652" s="73"/>
      <c r="I652" s="73"/>
      <c r="J652" s="73"/>
      <c r="K652" s="73"/>
      <c r="L652" s="73"/>
      <c r="M652" s="73"/>
      <c r="N652" s="73"/>
      <c r="O652" s="73"/>
      <c r="P652" s="73"/>
      <c r="Q652" s="73"/>
      <c r="R652" s="73"/>
      <c r="S652" s="73"/>
      <c r="T652" s="73"/>
      <c r="U652" s="74"/>
    </row>
    <row r="653" spans="2:21" s="15" customFormat="1" x14ac:dyDescent="0.25">
      <c r="B653" s="72" t="s">
        <v>3285</v>
      </c>
      <c r="C653" s="73"/>
      <c r="D653" s="73"/>
      <c r="E653" s="73"/>
      <c r="F653" s="73"/>
      <c r="G653" s="73"/>
      <c r="H653" s="73"/>
      <c r="I653" s="73"/>
      <c r="J653" s="73"/>
      <c r="K653" s="73"/>
      <c r="L653" s="73"/>
      <c r="M653" s="73"/>
      <c r="N653" s="73"/>
      <c r="O653" s="73"/>
      <c r="P653" s="73"/>
      <c r="Q653" s="73"/>
      <c r="R653" s="73"/>
      <c r="S653" s="73"/>
      <c r="T653" s="73"/>
      <c r="U653" s="74"/>
    </row>
    <row r="654" spans="2:21" s="15" customFormat="1" x14ac:dyDescent="0.25">
      <c r="B654" s="72" t="s">
        <v>3395</v>
      </c>
      <c r="C654" s="73"/>
      <c r="D654" s="73"/>
      <c r="E654" s="73"/>
      <c r="F654" s="73"/>
      <c r="G654" s="73"/>
      <c r="H654" s="73"/>
      <c r="I654" s="73"/>
      <c r="J654" s="73"/>
      <c r="K654" s="73"/>
      <c r="L654" s="73"/>
      <c r="M654" s="73"/>
      <c r="N654" s="73"/>
      <c r="O654" s="73"/>
      <c r="P654" s="73"/>
      <c r="Q654" s="73"/>
      <c r="R654" s="73"/>
      <c r="S654" s="73"/>
      <c r="T654" s="73"/>
      <c r="U654" s="74"/>
    </row>
    <row r="655" spans="2:21" s="15" customFormat="1" x14ac:dyDescent="0.25">
      <c r="B655" s="72" t="s">
        <v>3287</v>
      </c>
      <c r="C655" s="73"/>
      <c r="D655" s="73"/>
      <c r="E655" s="73"/>
      <c r="F655" s="73"/>
      <c r="G655" s="73"/>
      <c r="H655" s="73"/>
      <c r="I655" s="73"/>
      <c r="J655" s="73"/>
      <c r="K655" s="73"/>
      <c r="L655" s="73"/>
      <c r="M655" s="73"/>
      <c r="N655" s="73"/>
      <c r="O655" s="73"/>
      <c r="P655" s="73"/>
      <c r="Q655" s="73"/>
      <c r="R655" s="73"/>
      <c r="S655" s="73"/>
      <c r="T655" s="73"/>
      <c r="U655" s="74"/>
    </row>
    <row r="656" spans="2:21" s="15" customFormat="1" x14ac:dyDescent="0.25">
      <c r="B656" s="72" t="s">
        <v>3176</v>
      </c>
      <c r="C656" s="73"/>
      <c r="D656" s="73"/>
      <c r="E656" s="73"/>
      <c r="F656" s="73"/>
      <c r="G656" s="73"/>
      <c r="H656" s="73"/>
      <c r="I656" s="73"/>
      <c r="J656" s="73"/>
      <c r="K656" s="73"/>
      <c r="L656" s="73"/>
      <c r="M656" s="73"/>
      <c r="N656" s="73"/>
      <c r="O656" s="73"/>
      <c r="P656" s="73"/>
      <c r="Q656" s="73"/>
      <c r="R656" s="73"/>
      <c r="S656" s="73"/>
      <c r="T656" s="73"/>
      <c r="U656" s="74"/>
    </row>
    <row r="657" spans="2:21" s="15" customFormat="1" x14ac:dyDescent="0.25">
      <c r="B657" s="72" t="s">
        <v>3288</v>
      </c>
      <c r="C657" s="73"/>
      <c r="D657" s="73"/>
      <c r="E657" s="73"/>
      <c r="F657" s="73"/>
      <c r="G657" s="73"/>
      <c r="H657" s="73"/>
      <c r="I657" s="73"/>
      <c r="J657" s="73"/>
      <c r="K657" s="73"/>
      <c r="L657" s="73"/>
      <c r="M657" s="73"/>
      <c r="N657" s="73"/>
      <c r="O657" s="73"/>
      <c r="P657" s="73"/>
      <c r="Q657" s="73"/>
      <c r="R657" s="73"/>
      <c r="S657" s="73"/>
      <c r="T657" s="73"/>
      <c r="U657" s="74"/>
    </row>
    <row r="658" spans="2:21" s="15" customFormat="1" x14ac:dyDescent="0.25">
      <c r="B658" s="72" t="s">
        <v>3289</v>
      </c>
      <c r="C658" s="73"/>
      <c r="D658" s="73"/>
      <c r="E658" s="73"/>
      <c r="F658" s="73"/>
      <c r="G658" s="73"/>
      <c r="H658" s="73"/>
      <c r="I658" s="73"/>
      <c r="J658" s="73"/>
      <c r="K658" s="73"/>
      <c r="L658" s="73"/>
      <c r="M658" s="73"/>
      <c r="N658" s="73"/>
      <c r="O658" s="73"/>
      <c r="P658" s="73"/>
      <c r="Q658" s="73"/>
      <c r="R658" s="73"/>
      <c r="S658" s="73"/>
      <c r="T658" s="73"/>
      <c r="U658" s="74"/>
    </row>
    <row r="659" spans="2:21" s="15" customFormat="1" x14ac:dyDescent="0.25">
      <c r="B659" s="72" t="s">
        <v>3179</v>
      </c>
      <c r="C659" s="73"/>
      <c r="D659" s="73"/>
      <c r="E659" s="73"/>
      <c r="F659" s="73"/>
      <c r="G659" s="73"/>
      <c r="H659" s="73"/>
      <c r="I659" s="73"/>
      <c r="J659" s="73"/>
      <c r="K659" s="73"/>
      <c r="L659" s="73"/>
      <c r="M659" s="73"/>
      <c r="N659" s="73"/>
      <c r="O659" s="73"/>
      <c r="P659" s="73"/>
      <c r="Q659" s="73"/>
      <c r="R659" s="73"/>
      <c r="S659" s="73"/>
      <c r="T659" s="73"/>
      <c r="U659" s="74"/>
    </row>
    <row r="660" spans="2:21" s="15" customFormat="1" x14ac:dyDescent="0.25">
      <c r="B660" s="72" t="s">
        <v>3180</v>
      </c>
      <c r="C660" s="73"/>
      <c r="D660" s="73"/>
      <c r="E660" s="73"/>
      <c r="F660" s="73"/>
      <c r="G660" s="73"/>
      <c r="H660" s="73"/>
      <c r="I660" s="73"/>
      <c r="J660" s="73"/>
      <c r="K660" s="73"/>
      <c r="L660" s="73"/>
      <c r="M660" s="73"/>
      <c r="N660" s="73"/>
      <c r="O660" s="73"/>
      <c r="P660" s="73"/>
      <c r="Q660" s="73"/>
      <c r="R660" s="73"/>
      <c r="S660" s="73"/>
      <c r="T660" s="73"/>
      <c r="U660" s="74"/>
    </row>
    <row r="661" spans="2:21" s="15" customFormat="1" x14ac:dyDescent="0.25">
      <c r="B661" s="72" t="s">
        <v>3181</v>
      </c>
      <c r="C661" s="73"/>
      <c r="D661" s="73"/>
      <c r="E661" s="73"/>
      <c r="F661" s="73"/>
      <c r="G661" s="73"/>
      <c r="H661" s="73"/>
      <c r="I661" s="73"/>
      <c r="J661" s="73"/>
      <c r="K661" s="73"/>
      <c r="L661" s="73"/>
      <c r="M661" s="73"/>
      <c r="N661" s="73"/>
      <c r="O661" s="73"/>
      <c r="P661" s="73"/>
      <c r="Q661" s="73"/>
      <c r="R661" s="73"/>
      <c r="S661" s="73"/>
      <c r="T661" s="73"/>
      <c r="U661" s="74"/>
    </row>
    <row r="662" spans="2:21" s="15" customFormat="1" x14ac:dyDescent="0.25">
      <c r="B662" s="72" t="s">
        <v>3085</v>
      </c>
      <c r="C662" s="73"/>
      <c r="D662" s="73"/>
      <c r="E662" s="73"/>
      <c r="F662" s="73"/>
      <c r="G662" s="73"/>
      <c r="H662" s="73"/>
      <c r="I662" s="73"/>
      <c r="J662" s="73"/>
      <c r="K662" s="73"/>
      <c r="L662" s="73"/>
      <c r="M662" s="73"/>
      <c r="N662" s="73"/>
      <c r="O662" s="73"/>
      <c r="P662" s="73"/>
      <c r="Q662" s="73"/>
      <c r="R662" s="73"/>
      <c r="S662" s="73"/>
      <c r="T662" s="73"/>
      <c r="U662" s="74"/>
    </row>
    <row r="663" spans="2:21" s="15" customFormat="1" x14ac:dyDescent="0.25">
      <c r="B663" s="72" t="s">
        <v>3397</v>
      </c>
      <c r="C663" s="73"/>
      <c r="D663" s="73"/>
      <c r="E663" s="73"/>
      <c r="F663" s="73"/>
      <c r="G663" s="73"/>
      <c r="H663" s="73"/>
      <c r="I663" s="73"/>
      <c r="J663" s="73"/>
      <c r="K663" s="73"/>
      <c r="L663" s="73"/>
      <c r="M663" s="73"/>
      <c r="N663" s="73"/>
      <c r="O663" s="73"/>
      <c r="P663" s="73"/>
      <c r="Q663" s="73"/>
      <c r="R663" s="73"/>
      <c r="S663" s="73"/>
      <c r="T663" s="73"/>
      <c r="U663" s="74"/>
    </row>
    <row r="664" spans="2:21" s="15" customFormat="1" x14ac:dyDescent="0.25">
      <c r="B664" s="72" t="s">
        <v>3183</v>
      </c>
      <c r="C664" s="73"/>
      <c r="D664" s="73"/>
      <c r="E664" s="73"/>
      <c r="F664" s="73"/>
      <c r="G664" s="73"/>
      <c r="H664" s="73"/>
      <c r="I664" s="73"/>
      <c r="J664" s="73"/>
      <c r="K664" s="73"/>
      <c r="L664" s="73"/>
      <c r="M664" s="73"/>
      <c r="N664" s="73"/>
      <c r="O664" s="73"/>
      <c r="P664" s="73"/>
      <c r="Q664" s="73"/>
      <c r="R664" s="73"/>
      <c r="S664" s="73"/>
      <c r="T664" s="73"/>
      <c r="U664" s="74"/>
    </row>
    <row r="665" spans="2:21" s="15" customFormat="1" x14ac:dyDescent="0.25">
      <c r="B665" s="72" t="s">
        <v>3168</v>
      </c>
      <c r="C665" s="73"/>
      <c r="D665" s="73"/>
      <c r="E665" s="73"/>
      <c r="F665" s="73"/>
      <c r="G665" s="73"/>
      <c r="H665" s="73"/>
      <c r="I665" s="73"/>
      <c r="J665" s="73"/>
      <c r="K665" s="73"/>
      <c r="L665" s="73"/>
      <c r="M665" s="73"/>
      <c r="N665" s="73"/>
      <c r="O665" s="73"/>
      <c r="P665" s="73"/>
      <c r="Q665" s="73"/>
      <c r="R665" s="73"/>
      <c r="S665" s="73"/>
      <c r="T665" s="73"/>
      <c r="U665" s="74"/>
    </row>
    <row r="666" spans="2:21" s="15" customFormat="1" x14ac:dyDescent="0.25">
      <c r="B666" s="72" t="s">
        <v>3169</v>
      </c>
      <c r="C666" s="73"/>
      <c r="D666" s="73"/>
      <c r="E666" s="73"/>
      <c r="F666" s="73"/>
      <c r="G666" s="73"/>
      <c r="H666" s="73"/>
      <c r="I666" s="73"/>
      <c r="J666" s="73"/>
      <c r="K666" s="73"/>
      <c r="L666" s="73"/>
      <c r="M666" s="73"/>
      <c r="N666" s="73"/>
      <c r="O666" s="73"/>
      <c r="P666" s="73"/>
      <c r="Q666" s="73"/>
      <c r="R666" s="73"/>
      <c r="S666" s="73"/>
      <c r="T666" s="73"/>
      <c r="U666" s="74"/>
    </row>
    <row r="667" spans="2:21" s="15" customFormat="1" x14ac:dyDescent="0.25">
      <c r="B667" s="72" t="s">
        <v>3283</v>
      </c>
      <c r="C667" s="73"/>
      <c r="D667" s="73"/>
      <c r="E667" s="73"/>
      <c r="F667" s="73"/>
      <c r="G667" s="73"/>
      <c r="H667" s="73"/>
      <c r="I667" s="73"/>
      <c r="J667" s="73"/>
      <c r="K667" s="73"/>
      <c r="L667" s="73"/>
      <c r="M667" s="73"/>
      <c r="N667" s="73"/>
      <c r="O667" s="73"/>
      <c r="P667" s="73"/>
      <c r="Q667" s="73"/>
      <c r="R667" s="73"/>
      <c r="S667" s="73"/>
      <c r="T667" s="73"/>
      <c r="U667" s="74"/>
    </row>
    <row r="668" spans="2:21" s="15" customFormat="1" x14ac:dyDescent="0.25">
      <c r="B668" s="72" t="s">
        <v>3284</v>
      </c>
      <c r="C668" s="73"/>
      <c r="D668" s="73"/>
      <c r="E668" s="73"/>
      <c r="F668" s="73"/>
      <c r="G668" s="73"/>
      <c r="H668" s="73"/>
      <c r="I668" s="73"/>
      <c r="J668" s="73"/>
      <c r="K668" s="73"/>
      <c r="L668" s="73"/>
      <c r="M668" s="73"/>
      <c r="N668" s="73"/>
      <c r="O668" s="73"/>
      <c r="P668" s="73"/>
      <c r="Q668" s="73"/>
      <c r="R668" s="73"/>
      <c r="S668" s="73"/>
      <c r="T668" s="73"/>
      <c r="U668" s="74"/>
    </row>
    <row r="669" spans="2:21" s="15" customFormat="1" x14ac:dyDescent="0.25">
      <c r="B669" s="72" t="s">
        <v>3172</v>
      </c>
      <c r="C669" s="73"/>
      <c r="D669" s="73"/>
      <c r="E669" s="73"/>
      <c r="F669" s="73"/>
      <c r="G669" s="73"/>
      <c r="H669" s="73"/>
      <c r="I669" s="73"/>
      <c r="J669" s="73"/>
      <c r="K669" s="73"/>
      <c r="L669" s="73"/>
      <c r="M669" s="73"/>
      <c r="N669" s="73"/>
      <c r="O669" s="73"/>
      <c r="P669" s="73"/>
      <c r="Q669" s="73"/>
      <c r="R669" s="73"/>
      <c r="S669" s="73"/>
      <c r="T669" s="73"/>
      <c r="U669" s="74"/>
    </row>
    <row r="670" spans="2:21" s="15" customFormat="1" x14ac:dyDescent="0.25">
      <c r="B670" s="72" t="s">
        <v>3285</v>
      </c>
      <c r="C670" s="73"/>
      <c r="D670" s="73"/>
      <c r="E670" s="73"/>
      <c r="F670" s="73"/>
      <c r="G670" s="73"/>
      <c r="H670" s="73"/>
      <c r="I670" s="73"/>
      <c r="J670" s="73"/>
      <c r="K670" s="73"/>
      <c r="L670" s="73"/>
      <c r="M670" s="73"/>
      <c r="N670" s="73"/>
      <c r="O670" s="73"/>
      <c r="P670" s="73"/>
      <c r="Q670" s="73"/>
      <c r="R670" s="73"/>
      <c r="S670" s="73"/>
      <c r="T670" s="73"/>
      <c r="U670" s="74"/>
    </row>
    <row r="671" spans="2:21" s="15" customFormat="1" x14ac:dyDescent="0.25">
      <c r="B671" s="72" t="s">
        <v>3391</v>
      </c>
      <c r="C671" s="73"/>
      <c r="D671" s="73"/>
      <c r="E671" s="73"/>
      <c r="F671" s="73"/>
      <c r="G671" s="73"/>
      <c r="H671" s="73"/>
      <c r="I671" s="73"/>
      <c r="J671" s="73"/>
      <c r="K671" s="73"/>
      <c r="L671" s="73"/>
      <c r="M671" s="73"/>
      <c r="N671" s="73"/>
      <c r="O671" s="73"/>
      <c r="P671" s="73"/>
      <c r="Q671" s="73"/>
      <c r="R671" s="73"/>
      <c r="S671" s="73"/>
      <c r="T671" s="73"/>
      <c r="U671" s="74"/>
    </row>
    <row r="672" spans="2:21" s="15" customFormat="1" x14ac:dyDescent="0.25">
      <c r="B672" s="72" t="s">
        <v>3287</v>
      </c>
      <c r="C672" s="73"/>
      <c r="D672" s="73"/>
      <c r="E672" s="73"/>
      <c r="F672" s="73"/>
      <c r="G672" s="73"/>
      <c r="H672" s="73"/>
      <c r="I672" s="73"/>
      <c r="J672" s="73"/>
      <c r="K672" s="73"/>
      <c r="L672" s="73"/>
      <c r="M672" s="73"/>
      <c r="N672" s="73"/>
      <c r="O672" s="73"/>
      <c r="P672" s="73"/>
      <c r="Q672" s="73"/>
      <c r="R672" s="73"/>
      <c r="S672" s="73"/>
      <c r="T672" s="73"/>
      <c r="U672" s="74"/>
    </row>
    <row r="673" spans="2:21" s="15" customFormat="1" x14ac:dyDescent="0.25">
      <c r="B673" s="72" t="s">
        <v>3176</v>
      </c>
      <c r="C673" s="73"/>
      <c r="D673" s="73"/>
      <c r="E673" s="73"/>
      <c r="F673" s="73"/>
      <c r="G673" s="73"/>
      <c r="H673" s="73"/>
      <c r="I673" s="73"/>
      <c r="J673" s="73"/>
      <c r="K673" s="73"/>
      <c r="L673" s="73"/>
      <c r="M673" s="73"/>
      <c r="N673" s="73"/>
      <c r="O673" s="73"/>
      <c r="P673" s="73"/>
      <c r="Q673" s="73"/>
      <c r="R673" s="73"/>
      <c r="S673" s="73"/>
      <c r="T673" s="73"/>
      <c r="U673" s="74"/>
    </row>
    <row r="674" spans="2:21" s="15" customFormat="1" x14ac:dyDescent="0.25">
      <c r="B674" s="72" t="s">
        <v>3288</v>
      </c>
      <c r="C674" s="73"/>
      <c r="D674" s="73"/>
      <c r="E674" s="73"/>
      <c r="F674" s="73"/>
      <c r="G674" s="73"/>
      <c r="H674" s="73"/>
      <c r="I674" s="73"/>
      <c r="J674" s="73"/>
      <c r="K674" s="73"/>
      <c r="L674" s="73"/>
      <c r="M674" s="73"/>
      <c r="N674" s="73"/>
      <c r="O674" s="73"/>
      <c r="P674" s="73"/>
      <c r="Q674" s="73"/>
      <c r="R674" s="73"/>
      <c r="S674" s="73"/>
      <c r="T674" s="73"/>
      <c r="U674" s="74"/>
    </row>
    <row r="675" spans="2:21" s="15" customFormat="1" x14ac:dyDescent="0.25">
      <c r="B675" s="72" t="s">
        <v>3289</v>
      </c>
      <c r="C675" s="73"/>
      <c r="D675" s="73"/>
      <c r="E675" s="73"/>
      <c r="F675" s="73"/>
      <c r="G675" s="73"/>
      <c r="H675" s="73"/>
      <c r="I675" s="73"/>
      <c r="J675" s="73"/>
      <c r="K675" s="73"/>
      <c r="L675" s="73"/>
      <c r="M675" s="73"/>
      <c r="N675" s="73"/>
      <c r="O675" s="73"/>
      <c r="P675" s="73"/>
      <c r="Q675" s="73"/>
      <c r="R675" s="73"/>
      <c r="S675" s="73"/>
      <c r="T675" s="73"/>
      <c r="U675" s="74"/>
    </row>
    <row r="676" spans="2:21" s="15" customFormat="1" x14ac:dyDescent="0.25">
      <c r="B676" s="72" t="s">
        <v>3290</v>
      </c>
      <c r="C676" s="73"/>
      <c r="D676" s="73"/>
      <c r="E676" s="73"/>
      <c r="F676" s="73"/>
      <c r="G676" s="73"/>
      <c r="H676" s="73"/>
      <c r="I676" s="73"/>
      <c r="J676" s="73"/>
      <c r="K676" s="73"/>
      <c r="L676" s="73"/>
      <c r="M676" s="73"/>
      <c r="N676" s="73"/>
      <c r="O676" s="73"/>
      <c r="P676" s="73"/>
      <c r="Q676" s="73"/>
      <c r="R676" s="73"/>
      <c r="S676" s="73"/>
      <c r="T676" s="73"/>
      <c r="U676" s="74"/>
    </row>
    <row r="677" spans="2:21" s="15" customFormat="1" x14ac:dyDescent="0.25">
      <c r="B677" s="72" t="s">
        <v>3180</v>
      </c>
      <c r="C677" s="73"/>
      <c r="D677" s="73"/>
      <c r="E677" s="73"/>
      <c r="F677" s="73"/>
      <c r="G677" s="73"/>
      <c r="H677" s="73"/>
      <c r="I677" s="73"/>
      <c r="J677" s="73"/>
      <c r="K677" s="73"/>
      <c r="L677" s="73"/>
      <c r="M677" s="73"/>
      <c r="N677" s="73"/>
      <c r="O677" s="73"/>
      <c r="P677" s="73"/>
      <c r="Q677" s="73"/>
      <c r="R677" s="73"/>
      <c r="S677" s="73"/>
      <c r="T677" s="73"/>
      <c r="U677" s="74"/>
    </row>
    <row r="678" spans="2:21" s="15" customFormat="1" x14ac:dyDescent="0.25">
      <c r="B678" s="72" t="s">
        <v>3181</v>
      </c>
      <c r="C678" s="73"/>
      <c r="D678" s="73"/>
      <c r="E678" s="73"/>
      <c r="F678" s="73"/>
      <c r="G678" s="73"/>
      <c r="H678" s="73"/>
      <c r="I678" s="73"/>
      <c r="J678" s="73"/>
      <c r="K678" s="73"/>
      <c r="L678" s="73"/>
      <c r="M678" s="73"/>
      <c r="N678" s="73"/>
      <c r="O678" s="73"/>
      <c r="P678" s="73"/>
      <c r="Q678" s="73"/>
      <c r="R678" s="73"/>
      <c r="S678" s="73"/>
      <c r="T678" s="73"/>
      <c r="U678" s="74"/>
    </row>
    <row r="679" spans="2:21" s="15" customFormat="1" x14ac:dyDescent="0.25">
      <c r="B679" s="72" t="s">
        <v>3085</v>
      </c>
      <c r="C679" s="73"/>
      <c r="D679" s="73"/>
      <c r="E679" s="73"/>
      <c r="F679" s="73"/>
      <c r="G679" s="73"/>
      <c r="H679" s="73"/>
      <c r="I679" s="73"/>
      <c r="J679" s="73"/>
      <c r="K679" s="73"/>
      <c r="L679" s="73"/>
      <c r="M679" s="73"/>
      <c r="N679" s="73"/>
      <c r="O679" s="73"/>
      <c r="P679" s="73"/>
      <c r="Q679" s="73"/>
      <c r="R679" s="73"/>
      <c r="S679" s="73"/>
      <c r="T679" s="73"/>
      <c r="U679" s="74"/>
    </row>
    <row r="680" spans="2:21" s="15" customFormat="1" x14ac:dyDescent="0.25">
      <c r="B680" s="72" t="s">
        <v>3397</v>
      </c>
      <c r="C680" s="73"/>
      <c r="D680" s="73"/>
      <c r="E680" s="73"/>
      <c r="F680" s="73"/>
      <c r="G680" s="73"/>
      <c r="H680" s="73"/>
      <c r="I680" s="73"/>
      <c r="J680" s="73"/>
      <c r="K680" s="73"/>
      <c r="L680" s="73"/>
      <c r="M680" s="73"/>
      <c r="N680" s="73"/>
      <c r="O680" s="73"/>
      <c r="P680" s="73"/>
      <c r="Q680" s="73"/>
      <c r="R680" s="73"/>
      <c r="S680" s="73"/>
      <c r="T680" s="73"/>
      <c r="U680" s="74"/>
    </row>
    <row r="681" spans="2:21" s="15" customFormat="1" x14ac:dyDescent="0.25">
      <c r="B681" s="72" t="s">
        <v>3203</v>
      </c>
      <c r="C681" s="73"/>
      <c r="D681" s="73"/>
      <c r="E681" s="73"/>
      <c r="F681" s="73"/>
      <c r="G681" s="73"/>
      <c r="H681" s="73"/>
      <c r="I681" s="73"/>
      <c r="J681" s="73"/>
      <c r="K681" s="73"/>
      <c r="L681" s="73"/>
      <c r="M681" s="73"/>
      <c r="N681" s="73"/>
      <c r="O681" s="73"/>
      <c r="P681" s="73"/>
      <c r="Q681" s="73"/>
      <c r="R681" s="73"/>
      <c r="S681" s="73"/>
      <c r="T681" s="73"/>
      <c r="U681" s="74"/>
    </row>
    <row r="682" spans="2:21" s="15" customFormat="1" x14ac:dyDescent="0.25">
      <c r="B682" s="72" t="s">
        <v>3168</v>
      </c>
      <c r="C682" s="73"/>
      <c r="D682" s="73"/>
      <c r="E682" s="73"/>
      <c r="F682" s="73"/>
      <c r="G682" s="73"/>
      <c r="H682" s="73"/>
      <c r="I682" s="73"/>
      <c r="J682" s="73"/>
      <c r="K682" s="73"/>
      <c r="L682" s="73"/>
      <c r="M682" s="73"/>
      <c r="N682" s="73"/>
      <c r="O682" s="73"/>
      <c r="P682" s="73"/>
      <c r="Q682" s="73"/>
      <c r="R682" s="73"/>
      <c r="S682" s="73"/>
      <c r="T682" s="73"/>
      <c r="U682" s="74"/>
    </row>
    <row r="683" spans="2:21" s="15" customFormat="1" x14ac:dyDescent="0.25">
      <c r="B683" s="72" t="s">
        <v>3169</v>
      </c>
      <c r="C683" s="73"/>
      <c r="D683" s="73"/>
      <c r="E683" s="73"/>
      <c r="F683" s="73"/>
      <c r="G683" s="73"/>
      <c r="H683" s="73"/>
      <c r="I683" s="73"/>
      <c r="J683" s="73"/>
      <c r="K683" s="73"/>
      <c r="L683" s="73"/>
      <c r="M683" s="73"/>
      <c r="N683" s="73"/>
      <c r="O683" s="73"/>
      <c r="P683" s="73"/>
      <c r="Q683" s="73"/>
      <c r="R683" s="73"/>
      <c r="S683" s="73"/>
      <c r="T683" s="73"/>
      <c r="U683" s="74"/>
    </row>
    <row r="684" spans="2:21" s="15" customFormat="1" x14ac:dyDescent="0.25">
      <c r="B684" s="72" t="s">
        <v>3283</v>
      </c>
      <c r="C684" s="73"/>
      <c r="D684" s="73"/>
      <c r="E684" s="73"/>
      <c r="F684" s="73"/>
      <c r="G684" s="73"/>
      <c r="H684" s="73"/>
      <c r="I684" s="73"/>
      <c r="J684" s="73"/>
      <c r="K684" s="73"/>
      <c r="L684" s="73"/>
      <c r="M684" s="73"/>
      <c r="N684" s="73"/>
      <c r="O684" s="73"/>
      <c r="P684" s="73"/>
      <c r="Q684" s="73"/>
      <c r="R684" s="73"/>
      <c r="S684" s="73"/>
      <c r="T684" s="73"/>
      <c r="U684" s="74"/>
    </row>
    <row r="685" spans="2:21" s="15" customFormat="1" x14ac:dyDescent="0.25">
      <c r="B685" s="72" t="s">
        <v>3284</v>
      </c>
      <c r="C685" s="73"/>
      <c r="D685" s="73"/>
      <c r="E685" s="73"/>
      <c r="F685" s="73"/>
      <c r="G685" s="73"/>
      <c r="H685" s="73"/>
      <c r="I685" s="73"/>
      <c r="J685" s="73"/>
      <c r="K685" s="73"/>
      <c r="L685" s="73"/>
      <c r="M685" s="73"/>
      <c r="N685" s="73"/>
      <c r="O685" s="73"/>
      <c r="P685" s="73"/>
      <c r="Q685" s="73"/>
      <c r="R685" s="73"/>
      <c r="S685" s="73"/>
      <c r="T685" s="73"/>
      <c r="U685" s="74"/>
    </row>
    <row r="686" spans="2:21" s="15" customFormat="1" x14ac:dyDescent="0.25">
      <c r="B686" s="72" t="s">
        <v>3172</v>
      </c>
      <c r="C686" s="73"/>
      <c r="D686" s="73"/>
      <c r="E686" s="73"/>
      <c r="F686" s="73"/>
      <c r="G686" s="73"/>
      <c r="H686" s="73"/>
      <c r="I686" s="73"/>
      <c r="J686" s="73"/>
      <c r="K686" s="73"/>
      <c r="L686" s="73"/>
      <c r="M686" s="73"/>
      <c r="N686" s="73"/>
      <c r="O686" s="73"/>
      <c r="P686" s="73"/>
      <c r="Q686" s="73"/>
      <c r="R686" s="73"/>
      <c r="S686" s="73"/>
      <c r="T686" s="73"/>
      <c r="U686" s="74"/>
    </row>
    <row r="687" spans="2:21" s="15" customFormat="1" x14ac:dyDescent="0.25">
      <c r="B687" s="72" t="s">
        <v>3285</v>
      </c>
      <c r="C687" s="73"/>
      <c r="D687" s="73"/>
      <c r="E687" s="73"/>
      <c r="F687" s="73"/>
      <c r="G687" s="73"/>
      <c r="H687" s="73"/>
      <c r="I687" s="73"/>
      <c r="J687" s="73"/>
      <c r="K687" s="73"/>
      <c r="L687" s="73"/>
      <c r="M687" s="73"/>
      <c r="N687" s="73"/>
      <c r="O687" s="73"/>
      <c r="P687" s="73"/>
      <c r="Q687" s="73"/>
      <c r="R687" s="73"/>
      <c r="S687" s="73"/>
      <c r="T687" s="73"/>
      <c r="U687" s="74"/>
    </row>
    <row r="688" spans="2:21" s="15" customFormat="1" x14ac:dyDescent="0.25">
      <c r="B688" s="72" t="s">
        <v>3391</v>
      </c>
      <c r="C688" s="73"/>
      <c r="D688" s="73"/>
      <c r="E688" s="73"/>
      <c r="F688" s="73"/>
      <c r="G688" s="73"/>
      <c r="H688" s="73"/>
      <c r="I688" s="73"/>
      <c r="J688" s="73"/>
      <c r="K688" s="73"/>
      <c r="L688" s="73"/>
      <c r="M688" s="73"/>
      <c r="N688" s="73"/>
      <c r="O688" s="73"/>
      <c r="P688" s="73"/>
      <c r="Q688" s="73"/>
      <c r="R688" s="73"/>
      <c r="S688" s="73"/>
      <c r="T688" s="73"/>
      <c r="U688" s="74"/>
    </row>
    <row r="689" spans="2:21" s="15" customFormat="1" x14ac:dyDescent="0.25">
      <c r="B689" s="72" t="s">
        <v>3175</v>
      </c>
      <c r="C689" s="73"/>
      <c r="D689" s="73"/>
      <c r="E689" s="73"/>
      <c r="F689" s="73"/>
      <c r="G689" s="73"/>
      <c r="H689" s="73"/>
      <c r="I689" s="73"/>
      <c r="J689" s="73"/>
      <c r="K689" s="73"/>
      <c r="L689" s="73"/>
      <c r="M689" s="73"/>
      <c r="N689" s="73"/>
      <c r="O689" s="73"/>
      <c r="P689" s="73"/>
      <c r="Q689" s="73"/>
      <c r="R689" s="73"/>
      <c r="S689" s="73"/>
      <c r="T689" s="73"/>
      <c r="U689" s="74"/>
    </row>
    <row r="690" spans="2:21" s="15" customFormat="1" x14ac:dyDescent="0.25">
      <c r="B690" s="72" t="s">
        <v>3176</v>
      </c>
      <c r="C690" s="73"/>
      <c r="D690" s="73"/>
      <c r="E690" s="73"/>
      <c r="F690" s="73"/>
      <c r="G690" s="73"/>
      <c r="H690" s="73"/>
      <c r="I690" s="73"/>
      <c r="J690" s="73"/>
      <c r="K690" s="73"/>
      <c r="L690" s="73"/>
      <c r="M690" s="73"/>
      <c r="N690" s="73"/>
      <c r="O690" s="73"/>
      <c r="P690" s="73"/>
      <c r="Q690" s="73"/>
      <c r="R690" s="73"/>
      <c r="S690" s="73"/>
      <c r="T690" s="73"/>
      <c r="U690" s="74"/>
    </row>
    <row r="691" spans="2:21" s="15" customFormat="1" x14ac:dyDescent="0.25">
      <c r="B691" s="72" t="s">
        <v>3288</v>
      </c>
      <c r="C691" s="73"/>
      <c r="D691" s="73"/>
      <c r="E691" s="73"/>
      <c r="F691" s="73"/>
      <c r="G691" s="73"/>
      <c r="H691" s="73"/>
      <c r="I691" s="73"/>
      <c r="J691" s="73"/>
      <c r="K691" s="73"/>
      <c r="L691" s="73"/>
      <c r="M691" s="73"/>
      <c r="N691" s="73"/>
      <c r="O691" s="73"/>
      <c r="P691" s="73"/>
      <c r="Q691" s="73"/>
      <c r="R691" s="73"/>
      <c r="S691" s="73"/>
      <c r="T691" s="73"/>
      <c r="U691" s="74"/>
    </row>
    <row r="692" spans="2:21" s="15" customFormat="1" x14ac:dyDescent="0.25">
      <c r="B692" s="72" t="s">
        <v>3289</v>
      </c>
      <c r="C692" s="73"/>
      <c r="D692" s="73"/>
      <c r="E692" s="73"/>
      <c r="F692" s="73"/>
      <c r="G692" s="73"/>
      <c r="H692" s="73"/>
      <c r="I692" s="73"/>
      <c r="J692" s="73"/>
      <c r="K692" s="73"/>
      <c r="L692" s="73"/>
      <c r="M692" s="73"/>
      <c r="N692" s="73"/>
      <c r="O692" s="73"/>
      <c r="P692" s="73"/>
      <c r="Q692" s="73"/>
      <c r="R692" s="73"/>
      <c r="S692" s="73"/>
      <c r="T692" s="73"/>
      <c r="U692" s="74"/>
    </row>
    <row r="693" spans="2:21" s="15" customFormat="1" x14ac:dyDescent="0.25">
      <c r="B693" s="72" t="s">
        <v>3290</v>
      </c>
      <c r="C693" s="73"/>
      <c r="D693" s="73"/>
      <c r="E693" s="73"/>
      <c r="F693" s="73"/>
      <c r="G693" s="73"/>
      <c r="H693" s="73"/>
      <c r="I693" s="73"/>
      <c r="J693" s="73"/>
      <c r="K693" s="73"/>
      <c r="L693" s="73"/>
      <c r="M693" s="73"/>
      <c r="N693" s="73"/>
      <c r="O693" s="73"/>
      <c r="P693" s="73"/>
      <c r="Q693" s="73"/>
      <c r="R693" s="73"/>
      <c r="S693" s="73"/>
      <c r="T693" s="73"/>
      <c r="U693" s="74"/>
    </row>
    <row r="694" spans="2:21" s="15" customFormat="1" x14ac:dyDescent="0.25">
      <c r="B694" s="72" t="s">
        <v>3180</v>
      </c>
      <c r="C694" s="73"/>
      <c r="D694" s="73"/>
      <c r="E694" s="73"/>
      <c r="F694" s="73"/>
      <c r="G694" s="73"/>
      <c r="H694" s="73"/>
      <c r="I694" s="73"/>
      <c r="J694" s="73"/>
      <c r="K694" s="73"/>
      <c r="L694" s="73"/>
      <c r="M694" s="73"/>
      <c r="N694" s="73"/>
      <c r="O694" s="73"/>
      <c r="P694" s="73"/>
      <c r="Q694" s="73"/>
      <c r="R694" s="73"/>
      <c r="S694" s="73"/>
      <c r="T694" s="73"/>
      <c r="U694" s="74"/>
    </row>
    <row r="695" spans="2:21" s="15" customFormat="1" x14ac:dyDescent="0.25">
      <c r="B695" s="72" t="s">
        <v>3181</v>
      </c>
      <c r="C695" s="73"/>
      <c r="D695" s="73"/>
      <c r="E695" s="73"/>
      <c r="F695" s="73"/>
      <c r="G695" s="73"/>
      <c r="H695" s="73"/>
      <c r="I695" s="73"/>
      <c r="J695" s="73"/>
      <c r="K695" s="73"/>
      <c r="L695" s="73"/>
      <c r="M695" s="73"/>
      <c r="N695" s="73"/>
      <c r="O695" s="73"/>
      <c r="P695" s="73"/>
      <c r="Q695" s="73"/>
      <c r="R695" s="73"/>
      <c r="S695" s="73"/>
      <c r="T695" s="73"/>
      <c r="U695" s="74"/>
    </row>
    <row r="696" spans="2:21" s="15" customFormat="1" x14ac:dyDescent="0.25">
      <c r="B696" s="72" t="s">
        <v>3085</v>
      </c>
      <c r="C696" s="73"/>
      <c r="D696" s="73"/>
      <c r="E696" s="73"/>
      <c r="F696" s="73"/>
      <c r="G696" s="73"/>
      <c r="H696" s="73"/>
      <c r="I696" s="73"/>
      <c r="J696" s="73"/>
      <c r="K696" s="73"/>
      <c r="L696" s="73"/>
      <c r="M696" s="73"/>
      <c r="N696" s="73"/>
      <c r="O696" s="73"/>
      <c r="P696" s="73"/>
      <c r="Q696" s="73"/>
      <c r="R696" s="73"/>
      <c r="S696" s="73"/>
      <c r="T696" s="73"/>
      <c r="U696" s="74"/>
    </row>
    <row r="697" spans="2:21" s="15" customFormat="1" x14ac:dyDescent="0.25">
      <c r="B697" s="72" t="s">
        <v>3397</v>
      </c>
      <c r="C697" s="73"/>
      <c r="D697" s="73"/>
      <c r="E697" s="73"/>
      <c r="F697" s="73"/>
      <c r="G697" s="73"/>
      <c r="H697" s="73"/>
      <c r="I697" s="73"/>
      <c r="J697" s="73"/>
      <c r="K697" s="73"/>
      <c r="L697" s="73"/>
      <c r="M697" s="73"/>
      <c r="N697" s="73"/>
      <c r="O697" s="73"/>
      <c r="P697" s="73"/>
      <c r="Q697" s="73"/>
      <c r="R697" s="73"/>
      <c r="S697" s="73"/>
      <c r="T697" s="73"/>
      <c r="U697" s="74"/>
    </row>
    <row r="698" spans="2:21" s="15" customFormat="1" x14ac:dyDescent="0.25">
      <c r="B698" s="72" t="s">
        <v>3167</v>
      </c>
      <c r="C698" s="73"/>
      <c r="D698" s="73"/>
      <c r="E698" s="73"/>
      <c r="F698" s="73"/>
      <c r="G698" s="73"/>
      <c r="H698" s="73"/>
      <c r="I698" s="73"/>
      <c r="J698" s="73"/>
      <c r="K698" s="73"/>
      <c r="L698" s="73"/>
      <c r="M698" s="73"/>
      <c r="N698" s="73"/>
      <c r="O698" s="73"/>
      <c r="P698" s="73"/>
      <c r="Q698" s="73"/>
      <c r="R698" s="73"/>
      <c r="S698" s="73"/>
      <c r="T698" s="73"/>
      <c r="U698" s="74"/>
    </row>
    <row r="699" spans="2:21" s="15" customFormat="1" x14ac:dyDescent="0.25">
      <c r="B699" s="72" t="s">
        <v>3398</v>
      </c>
      <c r="C699" s="73"/>
      <c r="D699" s="73"/>
      <c r="E699" s="73"/>
      <c r="F699" s="73"/>
      <c r="G699" s="73"/>
      <c r="H699" s="73"/>
      <c r="I699" s="73"/>
      <c r="J699" s="73"/>
      <c r="K699" s="73"/>
      <c r="L699" s="73"/>
      <c r="M699" s="73"/>
      <c r="N699" s="73"/>
      <c r="O699" s="73"/>
      <c r="P699" s="73"/>
      <c r="Q699" s="73"/>
      <c r="R699" s="73"/>
      <c r="S699" s="73"/>
      <c r="T699" s="73"/>
      <c r="U699" s="74"/>
    </row>
    <row r="700" spans="2:21" s="15" customFormat="1" x14ac:dyDescent="0.25">
      <c r="B700" s="72" t="s">
        <v>3169</v>
      </c>
      <c r="C700" s="73"/>
      <c r="D700" s="73"/>
      <c r="E700" s="73"/>
      <c r="F700" s="73"/>
      <c r="G700" s="73"/>
      <c r="H700" s="73"/>
      <c r="I700" s="73"/>
      <c r="J700" s="73"/>
      <c r="K700" s="73"/>
      <c r="L700" s="73"/>
      <c r="M700" s="73"/>
      <c r="N700" s="73"/>
      <c r="O700" s="73"/>
      <c r="P700" s="73"/>
      <c r="Q700" s="73"/>
      <c r="R700" s="73"/>
      <c r="S700" s="73"/>
      <c r="T700" s="73"/>
      <c r="U700" s="74"/>
    </row>
    <row r="701" spans="2:21" s="15" customFormat="1" x14ac:dyDescent="0.25">
      <c r="B701" s="72" t="s">
        <v>3399</v>
      </c>
      <c r="C701" s="73"/>
      <c r="D701" s="73"/>
      <c r="E701" s="73"/>
      <c r="F701" s="73"/>
      <c r="G701" s="73"/>
      <c r="H701" s="73"/>
      <c r="I701" s="73"/>
      <c r="J701" s="73"/>
      <c r="K701" s="73"/>
      <c r="L701" s="73"/>
      <c r="M701" s="73"/>
      <c r="N701" s="73"/>
      <c r="O701" s="73"/>
      <c r="P701" s="73"/>
      <c r="Q701" s="73"/>
      <c r="R701" s="73"/>
      <c r="S701" s="73"/>
      <c r="T701" s="73"/>
      <c r="U701" s="74"/>
    </row>
    <row r="702" spans="2:21" s="15" customFormat="1" x14ac:dyDescent="0.25">
      <c r="B702" s="72" t="s">
        <v>3284</v>
      </c>
      <c r="C702" s="73"/>
      <c r="D702" s="73"/>
      <c r="E702" s="73"/>
      <c r="F702" s="73"/>
      <c r="G702" s="73"/>
      <c r="H702" s="73"/>
      <c r="I702" s="73"/>
      <c r="J702" s="73"/>
      <c r="K702" s="73"/>
      <c r="L702" s="73"/>
      <c r="M702" s="73"/>
      <c r="N702" s="73"/>
      <c r="O702" s="73"/>
      <c r="P702" s="73"/>
      <c r="Q702" s="73"/>
      <c r="R702" s="73"/>
      <c r="S702" s="73"/>
      <c r="T702" s="73"/>
      <c r="U702" s="74"/>
    </row>
    <row r="703" spans="2:21" s="15" customFormat="1" x14ac:dyDescent="0.25">
      <c r="B703" s="72" t="s">
        <v>3172</v>
      </c>
      <c r="C703" s="73"/>
      <c r="D703" s="73"/>
      <c r="E703" s="73"/>
      <c r="F703" s="73"/>
      <c r="G703" s="73"/>
      <c r="H703" s="73"/>
      <c r="I703" s="73"/>
      <c r="J703" s="73"/>
      <c r="K703" s="73"/>
      <c r="L703" s="73"/>
      <c r="M703" s="73"/>
      <c r="N703" s="73"/>
      <c r="O703" s="73"/>
      <c r="P703" s="73"/>
      <c r="Q703" s="73"/>
      <c r="R703" s="73"/>
      <c r="S703" s="73"/>
      <c r="T703" s="73"/>
      <c r="U703" s="74"/>
    </row>
    <row r="704" spans="2:21" s="15" customFormat="1" x14ac:dyDescent="0.25">
      <c r="B704" s="72" t="s">
        <v>3285</v>
      </c>
      <c r="C704" s="73"/>
      <c r="D704" s="73"/>
      <c r="E704" s="73"/>
      <c r="F704" s="73"/>
      <c r="G704" s="73"/>
      <c r="H704" s="73"/>
      <c r="I704" s="73"/>
      <c r="J704" s="73"/>
      <c r="K704" s="73"/>
      <c r="L704" s="73"/>
      <c r="M704" s="73"/>
      <c r="N704" s="73"/>
      <c r="O704" s="73"/>
      <c r="P704" s="73"/>
      <c r="Q704" s="73"/>
      <c r="R704" s="73"/>
      <c r="S704" s="73"/>
      <c r="T704" s="73"/>
      <c r="U704" s="74"/>
    </row>
    <row r="705" spans="2:21" s="15" customFormat="1" x14ac:dyDescent="0.25">
      <c r="B705" s="72" t="s">
        <v>3391</v>
      </c>
      <c r="C705" s="73"/>
      <c r="D705" s="73"/>
      <c r="E705" s="73"/>
      <c r="F705" s="73"/>
      <c r="G705" s="73"/>
      <c r="H705" s="73"/>
      <c r="I705" s="73"/>
      <c r="J705" s="73"/>
      <c r="K705" s="73"/>
      <c r="L705" s="73"/>
      <c r="M705" s="73"/>
      <c r="N705" s="73"/>
      <c r="O705" s="73"/>
      <c r="P705" s="73"/>
      <c r="Q705" s="73"/>
      <c r="R705" s="73"/>
      <c r="S705" s="73"/>
      <c r="T705" s="73"/>
      <c r="U705" s="74"/>
    </row>
    <row r="706" spans="2:21" s="15" customFormat="1" x14ac:dyDescent="0.25">
      <c r="B706" s="72" t="s">
        <v>3287</v>
      </c>
      <c r="C706" s="73"/>
      <c r="D706" s="73"/>
      <c r="E706" s="73"/>
      <c r="F706" s="73"/>
      <c r="G706" s="73"/>
      <c r="H706" s="73"/>
      <c r="I706" s="73"/>
      <c r="J706" s="73"/>
      <c r="K706" s="73"/>
      <c r="L706" s="73"/>
      <c r="M706" s="73"/>
      <c r="N706" s="73"/>
      <c r="O706" s="73"/>
      <c r="P706" s="73"/>
      <c r="Q706" s="73"/>
      <c r="R706" s="73"/>
      <c r="S706" s="73"/>
      <c r="T706" s="73"/>
      <c r="U706" s="74"/>
    </row>
    <row r="707" spans="2:21" s="15" customFormat="1" x14ac:dyDescent="0.25">
      <c r="B707" s="72" t="s">
        <v>3176</v>
      </c>
      <c r="C707" s="73"/>
      <c r="D707" s="73"/>
      <c r="E707" s="73"/>
      <c r="F707" s="73"/>
      <c r="G707" s="73"/>
      <c r="H707" s="73"/>
      <c r="I707" s="73"/>
      <c r="J707" s="73"/>
      <c r="K707" s="73"/>
      <c r="L707" s="73"/>
      <c r="M707" s="73"/>
      <c r="N707" s="73"/>
      <c r="O707" s="73"/>
      <c r="P707" s="73"/>
      <c r="Q707" s="73"/>
      <c r="R707" s="73"/>
      <c r="S707" s="73"/>
      <c r="T707" s="73"/>
      <c r="U707" s="74"/>
    </row>
    <row r="708" spans="2:21" s="15" customFormat="1" x14ac:dyDescent="0.25">
      <c r="B708" s="72" t="s">
        <v>3288</v>
      </c>
      <c r="C708" s="73"/>
      <c r="D708" s="73"/>
      <c r="E708" s="73"/>
      <c r="F708" s="73"/>
      <c r="G708" s="73"/>
      <c r="H708" s="73"/>
      <c r="I708" s="73"/>
      <c r="J708" s="73"/>
      <c r="K708" s="73"/>
      <c r="L708" s="73"/>
      <c r="M708" s="73"/>
      <c r="N708" s="73"/>
      <c r="O708" s="73"/>
      <c r="P708" s="73"/>
      <c r="Q708" s="73"/>
      <c r="R708" s="73"/>
      <c r="S708" s="73"/>
      <c r="T708" s="73"/>
      <c r="U708" s="74"/>
    </row>
    <row r="709" spans="2:21" s="15" customFormat="1" x14ac:dyDescent="0.25">
      <c r="B709" s="72" t="s">
        <v>3289</v>
      </c>
      <c r="C709" s="73"/>
      <c r="D709" s="73"/>
      <c r="E709" s="73"/>
      <c r="F709" s="73"/>
      <c r="G709" s="73"/>
      <c r="H709" s="73"/>
      <c r="I709" s="73"/>
      <c r="J709" s="73"/>
      <c r="K709" s="73"/>
      <c r="L709" s="73"/>
      <c r="M709" s="73"/>
      <c r="N709" s="73"/>
      <c r="O709" s="73"/>
      <c r="P709" s="73"/>
      <c r="Q709" s="73"/>
      <c r="R709" s="73"/>
      <c r="S709" s="73"/>
      <c r="T709" s="73"/>
      <c r="U709" s="74"/>
    </row>
    <row r="710" spans="2:21" s="15" customFormat="1" x14ac:dyDescent="0.25">
      <c r="B710" s="72" t="s">
        <v>3179</v>
      </c>
      <c r="C710" s="73"/>
      <c r="D710" s="73"/>
      <c r="E710" s="73"/>
      <c r="F710" s="73"/>
      <c r="G710" s="73"/>
      <c r="H710" s="73"/>
      <c r="I710" s="73"/>
      <c r="J710" s="73"/>
      <c r="K710" s="73"/>
      <c r="L710" s="73"/>
      <c r="M710" s="73"/>
      <c r="N710" s="73"/>
      <c r="O710" s="73"/>
      <c r="P710" s="73"/>
      <c r="Q710" s="73"/>
      <c r="R710" s="73"/>
      <c r="S710" s="73"/>
      <c r="T710" s="73"/>
      <c r="U710" s="74"/>
    </row>
    <row r="711" spans="2:21" s="15" customFormat="1" x14ac:dyDescent="0.25">
      <c r="B711" s="72" t="s">
        <v>3180</v>
      </c>
      <c r="C711" s="73"/>
      <c r="D711" s="73"/>
      <c r="E711" s="73"/>
      <c r="F711" s="73"/>
      <c r="G711" s="73"/>
      <c r="H711" s="73"/>
      <c r="I711" s="73"/>
      <c r="J711" s="73"/>
      <c r="K711" s="73"/>
      <c r="L711" s="73"/>
      <c r="M711" s="73"/>
      <c r="N711" s="73"/>
      <c r="O711" s="73"/>
      <c r="P711" s="73"/>
      <c r="Q711" s="73"/>
      <c r="R711" s="73"/>
      <c r="S711" s="73"/>
      <c r="T711" s="73"/>
      <c r="U711" s="74"/>
    </row>
    <row r="712" spans="2:21" s="15" customFormat="1" x14ac:dyDescent="0.25">
      <c r="B712" s="72" t="s">
        <v>3181</v>
      </c>
      <c r="C712" s="73"/>
      <c r="D712" s="73"/>
      <c r="E712" s="73"/>
      <c r="F712" s="73"/>
      <c r="G712" s="73"/>
      <c r="H712" s="73"/>
      <c r="I712" s="73"/>
      <c r="J712" s="73"/>
      <c r="K712" s="73"/>
      <c r="L712" s="73"/>
      <c r="M712" s="73"/>
      <c r="N712" s="73"/>
      <c r="O712" s="73"/>
      <c r="P712" s="73"/>
      <c r="Q712" s="73"/>
      <c r="R712" s="73"/>
      <c r="S712" s="73"/>
      <c r="T712" s="73"/>
      <c r="U712" s="74"/>
    </row>
    <row r="713" spans="2:21" s="15" customFormat="1" x14ac:dyDescent="0.25">
      <c r="B713" s="72" t="s">
        <v>3085</v>
      </c>
      <c r="C713" s="73"/>
      <c r="D713" s="73"/>
      <c r="E713" s="73"/>
      <c r="F713" s="73"/>
      <c r="G713" s="73"/>
      <c r="H713" s="73"/>
      <c r="I713" s="73"/>
      <c r="J713" s="73"/>
      <c r="K713" s="73"/>
      <c r="L713" s="73"/>
      <c r="M713" s="73"/>
      <c r="N713" s="73"/>
      <c r="O713" s="73"/>
      <c r="P713" s="73"/>
      <c r="Q713" s="73"/>
      <c r="R713" s="73"/>
      <c r="S713" s="73"/>
      <c r="T713" s="73"/>
      <c r="U713" s="74"/>
    </row>
    <row r="714" spans="2:21" s="15" customFormat="1" x14ac:dyDescent="0.25">
      <c r="B714" s="72" t="s">
        <v>3400</v>
      </c>
      <c r="C714" s="73"/>
      <c r="D714" s="73"/>
      <c r="E714" s="73"/>
      <c r="F714" s="73"/>
      <c r="G714" s="73"/>
      <c r="H714" s="73"/>
      <c r="I714" s="73"/>
      <c r="J714" s="73"/>
      <c r="K714" s="73"/>
      <c r="L714" s="73"/>
      <c r="M714" s="73"/>
      <c r="N714" s="73"/>
      <c r="O714" s="73"/>
      <c r="P714" s="73"/>
      <c r="Q714" s="73"/>
      <c r="R714" s="73"/>
      <c r="S714" s="73"/>
      <c r="T714" s="73"/>
      <c r="U714" s="74"/>
    </row>
    <row r="715" spans="2:21" s="15" customFormat="1" x14ac:dyDescent="0.25">
      <c r="B715" s="72" t="s">
        <v>3183</v>
      </c>
      <c r="C715" s="73"/>
      <c r="D715" s="73"/>
      <c r="E715" s="73"/>
      <c r="F715" s="73"/>
      <c r="G715" s="73"/>
      <c r="H715" s="73"/>
      <c r="I715" s="73"/>
      <c r="J715" s="73"/>
      <c r="K715" s="73"/>
      <c r="L715" s="73"/>
      <c r="M715" s="73"/>
      <c r="N715" s="73"/>
      <c r="O715" s="73"/>
      <c r="P715" s="73"/>
      <c r="Q715" s="73"/>
      <c r="R715" s="73"/>
      <c r="S715" s="73"/>
      <c r="T715" s="73"/>
      <c r="U715" s="74"/>
    </row>
    <row r="716" spans="2:21" s="15" customFormat="1" x14ac:dyDescent="0.25">
      <c r="B716" s="72" t="s">
        <v>3168</v>
      </c>
      <c r="C716" s="73"/>
      <c r="D716" s="73"/>
      <c r="E716" s="73"/>
      <c r="F716" s="73"/>
      <c r="G716" s="73"/>
      <c r="H716" s="73"/>
      <c r="I716" s="73"/>
      <c r="J716" s="73"/>
      <c r="K716" s="73"/>
      <c r="L716" s="73"/>
      <c r="M716" s="73"/>
      <c r="N716" s="73"/>
      <c r="O716" s="73"/>
      <c r="P716" s="73"/>
      <c r="Q716" s="73"/>
      <c r="R716" s="73"/>
      <c r="S716" s="73"/>
      <c r="T716" s="73"/>
      <c r="U716" s="74"/>
    </row>
    <row r="717" spans="2:21" s="15" customFormat="1" x14ac:dyDescent="0.25">
      <c r="B717" s="72" t="s">
        <v>3169</v>
      </c>
      <c r="C717" s="73"/>
      <c r="D717" s="73"/>
      <c r="E717" s="73"/>
      <c r="F717" s="73"/>
      <c r="G717" s="73"/>
      <c r="H717" s="73"/>
      <c r="I717" s="73"/>
      <c r="J717" s="73"/>
      <c r="K717" s="73"/>
      <c r="L717" s="73"/>
      <c r="M717" s="73"/>
      <c r="N717" s="73"/>
      <c r="O717" s="73"/>
      <c r="P717" s="73"/>
      <c r="Q717" s="73"/>
      <c r="R717" s="73"/>
      <c r="S717" s="73"/>
      <c r="T717" s="73"/>
      <c r="U717" s="74"/>
    </row>
    <row r="718" spans="2:21" s="15" customFormat="1" x14ac:dyDescent="0.25">
      <c r="B718" s="72" t="s">
        <v>3283</v>
      </c>
      <c r="C718" s="73"/>
      <c r="D718" s="73"/>
      <c r="E718" s="73"/>
      <c r="F718" s="73"/>
      <c r="G718" s="73"/>
      <c r="H718" s="73"/>
      <c r="I718" s="73"/>
      <c r="J718" s="73"/>
      <c r="K718" s="73"/>
      <c r="L718" s="73"/>
      <c r="M718" s="73"/>
      <c r="N718" s="73"/>
      <c r="O718" s="73"/>
      <c r="P718" s="73"/>
      <c r="Q718" s="73"/>
      <c r="R718" s="73"/>
      <c r="S718" s="73"/>
      <c r="T718" s="73"/>
      <c r="U718" s="74"/>
    </row>
    <row r="719" spans="2:21" s="15" customFormat="1" x14ac:dyDescent="0.25">
      <c r="B719" s="72" t="s">
        <v>3284</v>
      </c>
      <c r="C719" s="73"/>
      <c r="D719" s="73"/>
      <c r="E719" s="73"/>
      <c r="F719" s="73"/>
      <c r="G719" s="73"/>
      <c r="H719" s="73"/>
      <c r="I719" s="73"/>
      <c r="J719" s="73"/>
      <c r="K719" s="73"/>
      <c r="L719" s="73"/>
      <c r="M719" s="73"/>
      <c r="N719" s="73"/>
      <c r="O719" s="73"/>
      <c r="P719" s="73"/>
      <c r="Q719" s="73"/>
      <c r="R719" s="73"/>
      <c r="S719" s="73"/>
      <c r="T719" s="73"/>
      <c r="U719" s="74"/>
    </row>
    <row r="720" spans="2:21" s="15" customFormat="1" x14ac:dyDescent="0.25">
      <c r="B720" s="72" t="s">
        <v>3172</v>
      </c>
      <c r="C720" s="73"/>
      <c r="D720" s="73"/>
      <c r="E720" s="73"/>
      <c r="F720" s="73"/>
      <c r="G720" s="73"/>
      <c r="H720" s="73"/>
      <c r="I720" s="73"/>
      <c r="J720" s="73"/>
      <c r="K720" s="73"/>
      <c r="L720" s="73"/>
      <c r="M720" s="73"/>
      <c r="N720" s="73"/>
      <c r="O720" s="73"/>
      <c r="P720" s="73"/>
      <c r="Q720" s="73"/>
      <c r="R720" s="73"/>
      <c r="S720" s="73"/>
      <c r="T720" s="73"/>
      <c r="U720" s="74"/>
    </row>
    <row r="721" spans="2:21" s="15" customFormat="1" x14ac:dyDescent="0.25">
      <c r="B721" s="72" t="s">
        <v>3285</v>
      </c>
      <c r="C721" s="73"/>
      <c r="D721" s="73"/>
      <c r="E721" s="73"/>
      <c r="F721" s="73"/>
      <c r="G721" s="73"/>
      <c r="H721" s="73"/>
      <c r="I721" s="73"/>
      <c r="J721" s="73"/>
      <c r="K721" s="73"/>
      <c r="L721" s="73"/>
      <c r="M721" s="73"/>
      <c r="N721" s="73"/>
      <c r="O721" s="73"/>
      <c r="P721" s="73"/>
      <c r="Q721" s="73"/>
      <c r="R721" s="73"/>
      <c r="S721" s="73"/>
      <c r="T721" s="73"/>
      <c r="U721" s="74"/>
    </row>
    <row r="722" spans="2:21" s="15" customFormat="1" x14ac:dyDescent="0.25">
      <c r="B722" s="72" t="s">
        <v>3286</v>
      </c>
      <c r="C722" s="73"/>
      <c r="D722" s="73"/>
      <c r="E722" s="73"/>
      <c r="F722" s="73"/>
      <c r="G722" s="73"/>
      <c r="H722" s="73"/>
      <c r="I722" s="73"/>
      <c r="J722" s="73"/>
      <c r="K722" s="73"/>
      <c r="L722" s="73"/>
      <c r="M722" s="73"/>
      <c r="N722" s="73"/>
      <c r="O722" s="73"/>
      <c r="P722" s="73"/>
      <c r="Q722" s="73"/>
      <c r="R722" s="73"/>
      <c r="S722" s="73"/>
      <c r="T722" s="73"/>
      <c r="U722" s="74"/>
    </row>
    <row r="723" spans="2:21" s="15" customFormat="1" x14ac:dyDescent="0.25">
      <c r="B723" s="72" t="s">
        <v>3287</v>
      </c>
      <c r="C723" s="73"/>
      <c r="D723" s="73"/>
      <c r="E723" s="73"/>
      <c r="F723" s="73"/>
      <c r="G723" s="73"/>
      <c r="H723" s="73"/>
      <c r="I723" s="73"/>
      <c r="J723" s="73"/>
      <c r="K723" s="73"/>
      <c r="L723" s="73"/>
      <c r="M723" s="73"/>
      <c r="N723" s="73"/>
      <c r="O723" s="73"/>
      <c r="P723" s="73"/>
      <c r="Q723" s="73"/>
      <c r="R723" s="73"/>
      <c r="S723" s="73"/>
      <c r="T723" s="73"/>
      <c r="U723" s="74"/>
    </row>
    <row r="724" spans="2:21" s="15" customFormat="1" x14ac:dyDescent="0.25">
      <c r="B724" s="72" t="s">
        <v>3176</v>
      </c>
      <c r="C724" s="73"/>
      <c r="D724" s="73"/>
      <c r="E724" s="73"/>
      <c r="F724" s="73"/>
      <c r="G724" s="73"/>
      <c r="H724" s="73"/>
      <c r="I724" s="73"/>
      <c r="J724" s="73"/>
      <c r="K724" s="73"/>
      <c r="L724" s="73"/>
      <c r="M724" s="73"/>
      <c r="N724" s="73"/>
      <c r="O724" s="73"/>
      <c r="P724" s="73"/>
      <c r="Q724" s="73"/>
      <c r="R724" s="73"/>
      <c r="S724" s="73"/>
      <c r="T724" s="73"/>
      <c r="U724" s="74"/>
    </row>
    <row r="725" spans="2:21" s="15" customFormat="1" x14ac:dyDescent="0.25">
      <c r="B725" s="72" t="s">
        <v>3288</v>
      </c>
      <c r="C725" s="73"/>
      <c r="D725" s="73"/>
      <c r="E725" s="73"/>
      <c r="F725" s="73"/>
      <c r="G725" s="73"/>
      <c r="H725" s="73"/>
      <c r="I725" s="73"/>
      <c r="J725" s="73"/>
      <c r="K725" s="73"/>
      <c r="L725" s="73"/>
      <c r="M725" s="73"/>
      <c r="N725" s="73"/>
      <c r="O725" s="73"/>
      <c r="P725" s="73"/>
      <c r="Q725" s="73"/>
      <c r="R725" s="73"/>
      <c r="S725" s="73"/>
      <c r="T725" s="73"/>
      <c r="U725" s="74"/>
    </row>
    <row r="726" spans="2:21" s="15" customFormat="1" x14ac:dyDescent="0.25">
      <c r="B726" s="72" t="s">
        <v>3289</v>
      </c>
      <c r="C726" s="73"/>
      <c r="D726" s="73"/>
      <c r="E726" s="73"/>
      <c r="F726" s="73"/>
      <c r="G726" s="73"/>
      <c r="H726" s="73"/>
      <c r="I726" s="73"/>
      <c r="J726" s="73"/>
      <c r="K726" s="73"/>
      <c r="L726" s="73"/>
      <c r="M726" s="73"/>
      <c r="N726" s="73"/>
      <c r="O726" s="73"/>
      <c r="P726" s="73"/>
      <c r="Q726" s="73"/>
      <c r="R726" s="73"/>
      <c r="S726" s="73"/>
      <c r="T726" s="73"/>
      <c r="U726" s="74"/>
    </row>
    <row r="727" spans="2:21" s="15" customFormat="1" x14ac:dyDescent="0.25">
      <c r="B727" s="72" t="s">
        <v>3294</v>
      </c>
      <c r="C727" s="73"/>
      <c r="D727" s="73"/>
      <c r="E727" s="73"/>
      <c r="F727" s="73"/>
      <c r="G727" s="73"/>
      <c r="H727" s="73"/>
      <c r="I727" s="73"/>
      <c r="J727" s="73"/>
      <c r="K727" s="73"/>
      <c r="L727" s="73"/>
      <c r="M727" s="73"/>
      <c r="N727" s="73"/>
      <c r="O727" s="73"/>
      <c r="P727" s="73"/>
      <c r="Q727" s="73"/>
      <c r="R727" s="73"/>
      <c r="S727" s="73"/>
      <c r="T727" s="73"/>
      <c r="U727" s="74"/>
    </row>
    <row r="728" spans="2:21" s="15" customFormat="1" x14ac:dyDescent="0.25">
      <c r="B728" s="72" t="s">
        <v>3180</v>
      </c>
      <c r="C728" s="73"/>
      <c r="D728" s="73"/>
      <c r="E728" s="73"/>
      <c r="F728" s="73"/>
      <c r="G728" s="73"/>
      <c r="H728" s="73"/>
      <c r="I728" s="73"/>
      <c r="J728" s="73"/>
      <c r="K728" s="73"/>
      <c r="L728" s="73"/>
      <c r="M728" s="73"/>
      <c r="N728" s="73"/>
      <c r="O728" s="73"/>
      <c r="P728" s="73"/>
      <c r="Q728" s="73"/>
      <c r="R728" s="73"/>
      <c r="S728" s="73"/>
      <c r="T728" s="73"/>
      <c r="U728" s="74"/>
    </row>
    <row r="729" spans="2:21" s="15" customFormat="1" x14ac:dyDescent="0.25">
      <c r="B729" s="72" t="s">
        <v>3181</v>
      </c>
      <c r="C729" s="73"/>
      <c r="D729" s="73"/>
      <c r="E729" s="73"/>
      <c r="F729" s="73"/>
      <c r="G729" s="73"/>
      <c r="H729" s="73"/>
      <c r="I729" s="73"/>
      <c r="J729" s="73"/>
      <c r="K729" s="73"/>
      <c r="L729" s="73"/>
      <c r="M729" s="73"/>
      <c r="N729" s="73"/>
      <c r="O729" s="73"/>
      <c r="P729" s="73"/>
      <c r="Q729" s="73"/>
      <c r="R729" s="73"/>
      <c r="S729" s="73"/>
      <c r="T729" s="73"/>
      <c r="U729" s="74"/>
    </row>
    <row r="730" spans="2:21" s="15" customFormat="1" x14ac:dyDescent="0.25">
      <c r="B730" s="72" t="s">
        <v>3085</v>
      </c>
      <c r="C730" s="73"/>
      <c r="D730" s="73"/>
      <c r="E730" s="73"/>
      <c r="F730" s="73"/>
      <c r="G730" s="73"/>
      <c r="H730" s="73"/>
      <c r="I730" s="73"/>
      <c r="J730" s="73"/>
      <c r="K730" s="73"/>
      <c r="L730" s="73"/>
      <c r="M730" s="73"/>
      <c r="N730" s="73"/>
      <c r="O730" s="73"/>
      <c r="P730" s="73"/>
      <c r="Q730" s="73"/>
      <c r="R730" s="73"/>
      <c r="S730" s="73"/>
      <c r="T730" s="73"/>
      <c r="U730" s="74"/>
    </row>
    <row r="731" spans="2:21" s="15" customFormat="1" x14ac:dyDescent="0.25">
      <c r="B731" s="72" t="s">
        <v>3400</v>
      </c>
      <c r="C731" s="73"/>
      <c r="D731" s="73"/>
      <c r="E731" s="73"/>
      <c r="F731" s="73"/>
      <c r="G731" s="73"/>
      <c r="H731" s="73"/>
      <c r="I731" s="73"/>
      <c r="J731" s="73"/>
      <c r="K731" s="73"/>
      <c r="L731" s="73"/>
      <c r="M731" s="73"/>
      <c r="N731" s="73"/>
      <c r="O731" s="73"/>
      <c r="P731" s="73"/>
      <c r="Q731" s="73"/>
      <c r="R731" s="73"/>
      <c r="S731" s="73"/>
      <c r="T731" s="73"/>
      <c r="U731" s="74"/>
    </row>
    <row r="732" spans="2:21" s="15" customFormat="1" x14ac:dyDescent="0.25">
      <c r="B732" s="72" t="s">
        <v>3203</v>
      </c>
      <c r="C732" s="73"/>
      <c r="D732" s="73"/>
      <c r="E732" s="73"/>
      <c r="F732" s="73"/>
      <c r="G732" s="73"/>
      <c r="H732" s="73"/>
      <c r="I732" s="73"/>
      <c r="J732" s="73"/>
      <c r="K732" s="73"/>
      <c r="L732" s="73"/>
      <c r="M732" s="73"/>
      <c r="N732" s="73"/>
      <c r="O732" s="73"/>
      <c r="P732" s="73"/>
      <c r="Q732" s="73"/>
      <c r="R732" s="73"/>
      <c r="S732" s="73"/>
      <c r="T732" s="73"/>
      <c r="U732" s="74"/>
    </row>
    <row r="733" spans="2:21" s="15" customFormat="1" x14ac:dyDescent="0.25">
      <c r="B733" s="72" t="s">
        <v>3168</v>
      </c>
      <c r="C733" s="73"/>
      <c r="D733" s="73"/>
      <c r="E733" s="73"/>
      <c r="F733" s="73"/>
      <c r="G733" s="73"/>
      <c r="H733" s="73"/>
      <c r="I733" s="73"/>
      <c r="J733" s="73"/>
      <c r="K733" s="73"/>
      <c r="L733" s="73"/>
      <c r="M733" s="73"/>
      <c r="N733" s="73"/>
      <c r="O733" s="73"/>
      <c r="P733" s="73"/>
      <c r="Q733" s="73"/>
      <c r="R733" s="73"/>
      <c r="S733" s="73"/>
      <c r="T733" s="73"/>
      <c r="U733" s="74"/>
    </row>
    <row r="734" spans="2:21" s="15" customFormat="1" x14ac:dyDescent="0.25">
      <c r="B734" s="72" t="s">
        <v>3282</v>
      </c>
      <c r="C734" s="73"/>
      <c r="D734" s="73"/>
      <c r="E734" s="73"/>
      <c r="F734" s="73"/>
      <c r="G734" s="73"/>
      <c r="H734" s="73"/>
      <c r="I734" s="73"/>
      <c r="J734" s="73"/>
      <c r="K734" s="73"/>
      <c r="L734" s="73"/>
      <c r="M734" s="73"/>
      <c r="N734" s="73"/>
      <c r="O734" s="73"/>
      <c r="P734" s="73"/>
      <c r="Q734" s="73"/>
      <c r="R734" s="73"/>
      <c r="S734" s="73"/>
      <c r="T734" s="73"/>
      <c r="U734" s="74"/>
    </row>
    <row r="735" spans="2:21" s="15" customFormat="1" x14ac:dyDescent="0.25">
      <c r="B735" s="72" t="s">
        <v>3283</v>
      </c>
      <c r="C735" s="73"/>
      <c r="D735" s="73"/>
      <c r="E735" s="73"/>
      <c r="F735" s="73"/>
      <c r="G735" s="73"/>
      <c r="H735" s="73"/>
      <c r="I735" s="73"/>
      <c r="J735" s="73"/>
      <c r="K735" s="73"/>
      <c r="L735" s="73"/>
      <c r="M735" s="73"/>
      <c r="N735" s="73"/>
      <c r="O735" s="73"/>
      <c r="P735" s="73"/>
      <c r="Q735" s="73"/>
      <c r="R735" s="73"/>
      <c r="S735" s="73"/>
      <c r="T735" s="73"/>
      <c r="U735" s="74"/>
    </row>
    <row r="736" spans="2:21" s="15" customFormat="1" x14ac:dyDescent="0.25">
      <c r="B736" s="72" t="s">
        <v>3284</v>
      </c>
      <c r="C736" s="73"/>
      <c r="D736" s="73"/>
      <c r="E736" s="73"/>
      <c r="F736" s="73"/>
      <c r="G736" s="73"/>
      <c r="H736" s="73"/>
      <c r="I736" s="73"/>
      <c r="J736" s="73"/>
      <c r="K736" s="73"/>
      <c r="L736" s="73"/>
      <c r="M736" s="73"/>
      <c r="N736" s="73"/>
      <c r="O736" s="73"/>
      <c r="P736" s="73"/>
      <c r="Q736" s="73"/>
      <c r="R736" s="73"/>
      <c r="S736" s="73"/>
      <c r="T736" s="73"/>
      <c r="U736" s="74"/>
    </row>
    <row r="737" spans="2:21" s="15" customFormat="1" x14ac:dyDescent="0.25">
      <c r="B737" s="72" t="s">
        <v>3172</v>
      </c>
      <c r="C737" s="73"/>
      <c r="D737" s="73"/>
      <c r="E737" s="73"/>
      <c r="F737" s="73"/>
      <c r="G737" s="73"/>
      <c r="H737" s="73"/>
      <c r="I737" s="73"/>
      <c r="J737" s="73"/>
      <c r="K737" s="73"/>
      <c r="L737" s="73"/>
      <c r="M737" s="73"/>
      <c r="N737" s="73"/>
      <c r="O737" s="73"/>
      <c r="P737" s="73"/>
      <c r="Q737" s="73"/>
      <c r="R737" s="73"/>
      <c r="S737" s="73"/>
      <c r="T737" s="73"/>
      <c r="U737" s="74"/>
    </row>
    <row r="738" spans="2:21" s="15" customFormat="1" x14ac:dyDescent="0.25">
      <c r="B738" s="72" t="s">
        <v>3285</v>
      </c>
      <c r="C738" s="73"/>
      <c r="D738" s="73"/>
      <c r="E738" s="73"/>
      <c r="F738" s="73"/>
      <c r="G738" s="73"/>
      <c r="H738" s="73"/>
      <c r="I738" s="73"/>
      <c r="J738" s="73"/>
      <c r="K738" s="73"/>
      <c r="L738" s="73"/>
      <c r="M738" s="73"/>
      <c r="N738" s="73"/>
      <c r="O738" s="73"/>
      <c r="P738" s="73"/>
      <c r="Q738" s="73"/>
      <c r="R738" s="73"/>
      <c r="S738" s="73"/>
      <c r="T738" s="73"/>
      <c r="U738" s="74"/>
    </row>
    <row r="739" spans="2:21" s="15" customFormat="1" x14ac:dyDescent="0.25">
      <c r="B739" s="72" t="s">
        <v>3286</v>
      </c>
      <c r="C739" s="73"/>
      <c r="D739" s="73"/>
      <c r="E739" s="73"/>
      <c r="F739" s="73"/>
      <c r="G739" s="73"/>
      <c r="H739" s="73"/>
      <c r="I739" s="73"/>
      <c r="J739" s="73"/>
      <c r="K739" s="73"/>
      <c r="L739" s="73"/>
      <c r="M739" s="73"/>
      <c r="N739" s="73"/>
      <c r="O739" s="73"/>
      <c r="P739" s="73"/>
      <c r="Q739" s="73"/>
      <c r="R739" s="73"/>
      <c r="S739" s="73"/>
      <c r="T739" s="73"/>
      <c r="U739" s="74"/>
    </row>
    <row r="740" spans="2:21" s="15" customFormat="1" x14ac:dyDescent="0.25">
      <c r="B740" s="72" t="s">
        <v>3287</v>
      </c>
      <c r="C740" s="73"/>
      <c r="D740" s="73"/>
      <c r="E740" s="73"/>
      <c r="F740" s="73"/>
      <c r="G740" s="73"/>
      <c r="H740" s="73"/>
      <c r="I740" s="73"/>
      <c r="J740" s="73"/>
      <c r="K740" s="73"/>
      <c r="L740" s="73"/>
      <c r="M740" s="73"/>
      <c r="N740" s="73"/>
      <c r="O740" s="73"/>
      <c r="P740" s="73"/>
      <c r="Q740" s="73"/>
      <c r="R740" s="73"/>
      <c r="S740" s="73"/>
      <c r="T740" s="73"/>
      <c r="U740" s="74"/>
    </row>
    <row r="741" spans="2:21" s="15" customFormat="1" x14ac:dyDescent="0.25">
      <c r="B741" s="72" t="s">
        <v>3292</v>
      </c>
      <c r="C741" s="73"/>
      <c r="D741" s="73"/>
      <c r="E741" s="73"/>
      <c r="F741" s="73"/>
      <c r="G741" s="73"/>
      <c r="H741" s="73"/>
      <c r="I741" s="73"/>
      <c r="J741" s="73"/>
      <c r="K741" s="73"/>
      <c r="L741" s="73"/>
      <c r="M741" s="73"/>
      <c r="N741" s="73"/>
      <c r="O741" s="73"/>
      <c r="P741" s="73"/>
      <c r="Q741" s="73"/>
      <c r="R741" s="73"/>
      <c r="S741" s="73"/>
      <c r="T741" s="73"/>
      <c r="U741" s="74"/>
    </row>
    <row r="742" spans="2:21" s="15" customFormat="1" x14ac:dyDescent="0.25">
      <c r="B742" s="72" t="s">
        <v>3288</v>
      </c>
      <c r="C742" s="73"/>
      <c r="D742" s="73"/>
      <c r="E742" s="73"/>
      <c r="F742" s="73"/>
      <c r="G742" s="73"/>
      <c r="H742" s="73"/>
      <c r="I742" s="73"/>
      <c r="J742" s="73"/>
      <c r="K742" s="73"/>
      <c r="L742" s="73"/>
      <c r="M742" s="73"/>
      <c r="N742" s="73"/>
      <c r="O742" s="73"/>
      <c r="P742" s="73"/>
      <c r="Q742" s="73"/>
      <c r="R742" s="73"/>
      <c r="S742" s="73"/>
      <c r="T742" s="73"/>
      <c r="U742" s="74"/>
    </row>
    <row r="743" spans="2:21" s="15" customFormat="1" x14ac:dyDescent="0.25">
      <c r="B743" s="72" t="s">
        <v>3289</v>
      </c>
      <c r="C743" s="73"/>
      <c r="D743" s="73"/>
      <c r="E743" s="73"/>
      <c r="F743" s="73"/>
      <c r="G743" s="73"/>
      <c r="H743" s="73"/>
      <c r="I743" s="73"/>
      <c r="J743" s="73"/>
      <c r="K743" s="73"/>
      <c r="L743" s="73"/>
      <c r="M743" s="73"/>
      <c r="N743" s="73"/>
      <c r="O743" s="73"/>
      <c r="P743" s="73"/>
      <c r="Q743" s="73"/>
      <c r="R743" s="73"/>
      <c r="S743" s="73"/>
      <c r="T743" s="73"/>
      <c r="U743" s="74"/>
    </row>
    <row r="744" spans="2:21" s="15" customFormat="1" x14ac:dyDescent="0.25">
      <c r="B744" s="72" t="s">
        <v>3294</v>
      </c>
      <c r="C744" s="73"/>
      <c r="D744" s="73"/>
      <c r="E744" s="73"/>
      <c r="F744" s="73"/>
      <c r="G744" s="73"/>
      <c r="H744" s="73"/>
      <c r="I744" s="73"/>
      <c r="J744" s="73"/>
      <c r="K744" s="73"/>
      <c r="L744" s="73"/>
      <c r="M744" s="73"/>
      <c r="N744" s="73"/>
      <c r="O744" s="73"/>
      <c r="P744" s="73"/>
      <c r="Q744" s="73"/>
      <c r="R744" s="73"/>
      <c r="S744" s="73"/>
      <c r="T744" s="73"/>
      <c r="U744" s="74"/>
    </row>
    <row r="745" spans="2:21" s="15" customFormat="1" x14ac:dyDescent="0.25">
      <c r="B745" s="72" t="s">
        <v>3180</v>
      </c>
      <c r="C745" s="73"/>
      <c r="D745" s="73"/>
      <c r="E745" s="73"/>
      <c r="F745" s="73"/>
      <c r="G745" s="73"/>
      <c r="H745" s="73"/>
      <c r="I745" s="73"/>
      <c r="J745" s="73"/>
      <c r="K745" s="73"/>
      <c r="L745" s="73"/>
      <c r="M745" s="73"/>
      <c r="N745" s="73"/>
      <c r="O745" s="73"/>
      <c r="P745" s="73"/>
      <c r="Q745" s="73"/>
      <c r="R745" s="73"/>
      <c r="S745" s="73"/>
      <c r="T745" s="73"/>
      <c r="U745" s="74"/>
    </row>
    <row r="746" spans="2:21" s="15" customFormat="1" x14ac:dyDescent="0.25">
      <c r="B746" s="72" t="s">
        <v>3181</v>
      </c>
      <c r="C746" s="73"/>
      <c r="D746" s="73"/>
      <c r="E746" s="73"/>
      <c r="F746" s="73"/>
      <c r="G746" s="73"/>
      <c r="H746" s="73"/>
      <c r="I746" s="73"/>
      <c r="J746" s="73"/>
      <c r="K746" s="73"/>
      <c r="L746" s="73"/>
      <c r="M746" s="73"/>
      <c r="N746" s="73"/>
      <c r="O746" s="73"/>
      <c r="P746" s="73"/>
      <c r="Q746" s="73"/>
      <c r="R746" s="73"/>
      <c r="S746" s="73"/>
      <c r="T746" s="73"/>
      <c r="U746" s="74"/>
    </row>
    <row r="747" spans="2:21" s="15" customFormat="1" x14ac:dyDescent="0.25">
      <c r="B747" s="72" t="s">
        <v>3085</v>
      </c>
      <c r="C747" s="73"/>
      <c r="D747" s="73"/>
      <c r="E747" s="73"/>
      <c r="F747" s="73"/>
      <c r="G747" s="73"/>
      <c r="H747" s="73"/>
      <c r="I747" s="73"/>
      <c r="J747" s="73"/>
      <c r="K747" s="73"/>
      <c r="L747" s="73"/>
      <c r="M747" s="73"/>
      <c r="N747" s="73"/>
      <c r="O747" s="73"/>
      <c r="P747" s="73"/>
      <c r="Q747" s="73"/>
      <c r="R747" s="73"/>
      <c r="S747" s="73"/>
      <c r="T747" s="73"/>
      <c r="U747" s="74"/>
    </row>
    <row r="748" spans="2:21" s="15" customFormat="1" x14ac:dyDescent="0.25">
      <c r="B748" s="72" t="s">
        <v>3400</v>
      </c>
      <c r="C748" s="73"/>
      <c r="D748" s="73"/>
      <c r="E748" s="73"/>
      <c r="F748" s="73"/>
      <c r="G748" s="73"/>
      <c r="H748" s="73"/>
      <c r="I748" s="73"/>
      <c r="J748" s="73"/>
      <c r="K748" s="73"/>
      <c r="L748" s="73"/>
      <c r="M748" s="73"/>
      <c r="N748" s="73"/>
      <c r="O748" s="73"/>
      <c r="P748" s="73"/>
      <c r="Q748" s="73"/>
      <c r="R748" s="73"/>
      <c r="S748" s="73"/>
      <c r="T748" s="73"/>
      <c r="U748" s="74"/>
    </row>
    <row r="749" spans="2:21" s="15" customFormat="1" x14ac:dyDescent="0.25">
      <c r="B749" s="72" t="s">
        <v>3167</v>
      </c>
      <c r="C749" s="73"/>
      <c r="D749" s="73"/>
      <c r="E749" s="73"/>
      <c r="F749" s="73"/>
      <c r="G749" s="73"/>
      <c r="H749" s="73"/>
      <c r="I749" s="73"/>
      <c r="J749" s="73"/>
      <c r="K749" s="73"/>
      <c r="L749" s="73"/>
      <c r="M749" s="73"/>
      <c r="N749" s="73"/>
      <c r="O749" s="73"/>
      <c r="P749" s="73"/>
      <c r="Q749" s="73"/>
      <c r="R749" s="73"/>
      <c r="S749" s="73"/>
      <c r="T749" s="73"/>
      <c r="U749" s="74"/>
    </row>
    <row r="750" spans="2:21" s="15" customFormat="1" x14ac:dyDescent="0.25">
      <c r="B750" s="72" t="s">
        <v>3168</v>
      </c>
      <c r="C750" s="73"/>
      <c r="D750" s="73"/>
      <c r="E750" s="73"/>
      <c r="F750" s="73"/>
      <c r="G750" s="73"/>
      <c r="H750" s="73"/>
      <c r="I750" s="73"/>
      <c r="J750" s="73"/>
      <c r="K750" s="73"/>
      <c r="L750" s="73"/>
      <c r="M750" s="73"/>
      <c r="N750" s="73"/>
      <c r="O750" s="73"/>
      <c r="P750" s="73"/>
      <c r="Q750" s="73"/>
      <c r="R750" s="73"/>
      <c r="S750" s="73"/>
      <c r="T750" s="73"/>
      <c r="U750" s="74"/>
    </row>
    <row r="751" spans="2:21" s="15" customFormat="1" x14ac:dyDescent="0.25">
      <c r="B751" s="72" t="s">
        <v>3169</v>
      </c>
      <c r="C751" s="73"/>
      <c r="D751" s="73"/>
      <c r="E751" s="73"/>
      <c r="F751" s="73"/>
      <c r="G751" s="73"/>
      <c r="H751" s="73"/>
      <c r="I751" s="73"/>
      <c r="J751" s="73"/>
      <c r="K751" s="73"/>
      <c r="L751" s="73"/>
      <c r="M751" s="73"/>
      <c r="N751" s="73"/>
      <c r="O751" s="73"/>
      <c r="P751" s="73"/>
      <c r="Q751" s="73"/>
      <c r="R751" s="73"/>
      <c r="S751" s="73"/>
      <c r="T751" s="73"/>
      <c r="U751" s="74"/>
    </row>
    <row r="752" spans="2:21" s="15" customFormat="1" x14ac:dyDescent="0.25">
      <c r="B752" s="72" t="s">
        <v>3283</v>
      </c>
      <c r="C752" s="73"/>
      <c r="D752" s="73"/>
      <c r="E752" s="73"/>
      <c r="F752" s="73"/>
      <c r="G752" s="73"/>
      <c r="H752" s="73"/>
      <c r="I752" s="73"/>
      <c r="J752" s="73"/>
      <c r="K752" s="73"/>
      <c r="L752" s="73"/>
      <c r="M752" s="73"/>
      <c r="N752" s="73"/>
      <c r="O752" s="73"/>
      <c r="P752" s="73"/>
      <c r="Q752" s="73"/>
      <c r="R752" s="73"/>
      <c r="S752" s="73"/>
      <c r="T752" s="73"/>
      <c r="U752" s="74"/>
    </row>
    <row r="753" spans="2:21" s="15" customFormat="1" x14ac:dyDescent="0.25">
      <c r="B753" s="72" t="s">
        <v>3284</v>
      </c>
      <c r="C753" s="73"/>
      <c r="D753" s="73"/>
      <c r="E753" s="73"/>
      <c r="F753" s="73"/>
      <c r="G753" s="73"/>
      <c r="H753" s="73"/>
      <c r="I753" s="73"/>
      <c r="J753" s="73"/>
      <c r="K753" s="73"/>
      <c r="L753" s="73"/>
      <c r="M753" s="73"/>
      <c r="N753" s="73"/>
      <c r="O753" s="73"/>
      <c r="P753" s="73"/>
      <c r="Q753" s="73"/>
      <c r="R753" s="73"/>
      <c r="S753" s="73"/>
      <c r="T753" s="73"/>
      <c r="U753" s="74"/>
    </row>
    <row r="754" spans="2:21" s="15" customFormat="1" x14ac:dyDescent="0.25">
      <c r="B754" s="72" t="s">
        <v>3172</v>
      </c>
      <c r="C754" s="73"/>
      <c r="D754" s="73"/>
      <c r="E754" s="73"/>
      <c r="F754" s="73"/>
      <c r="G754" s="73"/>
      <c r="H754" s="73"/>
      <c r="I754" s="73"/>
      <c r="J754" s="73"/>
      <c r="K754" s="73"/>
      <c r="L754" s="73"/>
      <c r="M754" s="73"/>
      <c r="N754" s="73"/>
      <c r="O754" s="73"/>
      <c r="P754" s="73"/>
      <c r="Q754" s="73"/>
      <c r="R754" s="73"/>
      <c r="S754" s="73"/>
      <c r="T754" s="73"/>
      <c r="U754" s="74"/>
    </row>
    <row r="755" spans="2:21" s="15" customFormat="1" x14ac:dyDescent="0.25">
      <c r="B755" s="72" t="s">
        <v>3285</v>
      </c>
      <c r="C755" s="73"/>
      <c r="D755" s="73"/>
      <c r="E755" s="73"/>
      <c r="F755" s="73"/>
      <c r="G755" s="73"/>
      <c r="H755" s="73"/>
      <c r="I755" s="73"/>
      <c r="J755" s="73"/>
      <c r="K755" s="73"/>
      <c r="L755" s="73"/>
      <c r="M755" s="73"/>
      <c r="N755" s="73"/>
      <c r="O755" s="73"/>
      <c r="P755" s="73"/>
      <c r="Q755" s="73"/>
      <c r="R755" s="73"/>
      <c r="S755" s="73"/>
      <c r="T755" s="73"/>
      <c r="U755" s="74"/>
    </row>
    <row r="756" spans="2:21" s="15" customFormat="1" x14ac:dyDescent="0.25">
      <c r="B756" s="72" t="s">
        <v>3286</v>
      </c>
      <c r="C756" s="73"/>
      <c r="D756" s="73"/>
      <c r="E756" s="73"/>
      <c r="F756" s="73"/>
      <c r="G756" s="73"/>
      <c r="H756" s="73"/>
      <c r="I756" s="73"/>
      <c r="J756" s="73"/>
      <c r="K756" s="73"/>
      <c r="L756" s="73"/>
      <c r="M756" s="73"/>
      <c r="N756" s="73"/>
      <c r="O756" s="73"/>
      <c r="P756" s="73"/>
      <c r="Q756" s="73"/>
      <c r="R756" s="73"/>
      <c r="S756" s="73"/>
      <c r="T756" s="73"/>
      <c r="U756" s="74"/>
    </row>
    <row r="757" spans="2:21" s="15" customFormat="1" x14ac:dyDescent="0.25">
      <c r="B757" s="72" t="s">
        <v>3291</v>
      </c>
      <c r="C757" s="73"/>
      <c r="D757" s="73"/>
      <c r="E757" s="73"/>
      <c r="F757" s="73"/>
      <c r="G757" s="73"/>
      <c r="H757" s="73"/>
      <c r="I757" s="73"/>
      <c r="J757" s="73"/>
      <c r="K757" s="73"/>
      <c r="L757" s="73"/>
      <c r="M757" s="73"/>
      <c r="N757" s="73"/>
      <c r="O757" s="73"/>
      <c r="P757" s="73"/>
      <c r="Q757" s="73"/>
      <c r="R757" s="73"/>
      <c r="S757" s="73"/>
      <c r="T757" s="73"/>
      <c r="U757" s="74"/>
    </row>
    <row r="758" spans="2:21" s="15" customFormat="1" x14ac:dyDescent="0.25">
      <c r="B758" s="72" t="s">
        <v>3176</v>
      </c>
      <c r="C758" s="73"/>
      <c r="D758" s="73"/>
      <c r="E758" s="73"/>
      <c r="F758" s="73"/>
      <c r="G758" s="73"/>
      <c r="H758" s="73"/>
      <c r="I758" s="73"/>
      <c r="J758" s="73"/>
      <c r="K758" s="73"/>
      <c r="L758" s="73"/>
      <c r="M758" s="73"/>
      <c r="N758" s="73"/>
      <c r="O758" s="73"/>
      <c r="P758" s="73"/>
      <c r="Q758" s="73"/>
      <c r="R758" s="73"/>
      <c r="S758" s="73"/>
      <c r="T758" s="73"/>
      <c r="U758" s="74"/>
    </row>
    <row r="759" spans="2:21" s="15" customFormat="1" x14ac:dyDescent="0.25">
      <c r="B759" s="72" t="s">
        <v>3288</v>
      </c>
      <c r="C759" s="73"/>
      <c r="D759" s="73"/>
      <c r="E759" s="73"/>
      <c r="F759" s="73"/>
      <c r="G759" s="73"/>
      <c r="H759" s="73"/>
      <c r="I759" s="73"/>
      <c r="J759" s="73"/>
      <c r="K759" s="73"/>
      <c r="L759" s="73"/>
      <c r="M759" s="73"/>
      <c r="N759" s="73"/>
      <c r="O759" s="73"/>
      <c r="P759" s="73"/>
      <c r="Q759" s="73"/>
      <c r="R759" s="73"/>
      <c r="S759" s="73"/>
      <c r="T759" s="73"/>
      <c r="U759" s="74"/>
    </row>
    <row r="760" spans="2:21" s="15" customFormat="1" x14ac:dyDescent="0.25">
      <c r="B760" s="72" t="s">
        <v>3289</v>
      </c>
      <c r="C760" s="73"/>
      <c r="D760" s="73"/>
      <c r="E760" s="73"/>
      <c r="F760" s="73"/>
      <c r="G760" s="73"/>
      <c r="H760" s="73"/>
      <c r="I760" s="73"/>
      <c r="J760" s="73"/>
      <c r="K760" s="73"/>
      <c r="L760" s="73"/>
      <c r="M760" s="73"/>
      <c r="N760" s="73"/>
      <c r="O760" s="73"/>
      <c r="P760" s="73"/>
      <c r="Q760" s="73"/>
      <c r="R760" s="73"/>
      <c r="S760" s="73"/>
      <c r="T760" s="73"/>
      <c r="U760" s="74"/>
    </row>
    <row r="761" spans="2:21" s="15" customFormat="1" x14ac:dyDescent="0.25">
      <c r="B761" s="72" t="s">
        <v>3179</v>
      </c>
      <c r="C761" s="73"/>
      <c r="D761" s="73"/>
      <c r="E761" s="73"/>
      <c r="F761" s="73"/>
      <c r="G761" s="73"/>
      <c r="H761" s="73"/>
      <c r="I761" s="73"/>
      <c r="J761" s="73"/>
      <c r="K761" s="73"/>
      <c r="L761" s="73"/>
      <c r="M761" s="73"/>
      <c r="N761" s="73"/>
      <c r="O761" s="73"/>
      <c r="P761" s="73"/>
      <c r="Q761" s="73"/>
      <c r="R761" s="73"/>
      <c r="S761" s="73"/>
      <c r="T761" s="73"/>
      <c r="U761" s="74"/>
    </row>
    <row r="762" spans="2:21" s="15" customFormat="1" x14ac:dyDescent="0.25">
      <c r="B762" s="72" t="s">
        <v>3180</v>
      </c>
      <c r="C762" s="73"/>
      <c r="D762" s="73"/>
      <c r="E762" s="73"/>
      <c r="F762" s="73"/>
      <c r="G762" s="73"/>
      <c r="H762" s="73"/>
      <c r="I762" s="73"/>
      <c r="J762" s="73"/>
      <c r="K762" s="73"/>
      <c r="L762" s="73"/>
      <c r="M762" s="73"/>
      <c r="N762" s="73"/>
      <c r="O762" s="73"/>
      <c r="P762" s="73"/>
      <c r="Q762" s="73"/>
      <c r="R762" s="73"/>
      <c r="S762" s="73"/>
      <c r="T762" s="73"/>
      <c r="U762" s="74"/>
    </row>
    <row r="763" spans="2:21" s="15" customFormat="1" x14ac:dyDescent="0.25">
      <c r="B763" s="72" t="s">
        <v>3181</v>
      </c>
      <c r="C763" s="73"/>
      <c r="D763" s="73"/>
      <c r="E763" s="73"/>
      <c r="F763" s="73"/>
      <c r="G763" s="73"/>
      <c r="H763" s="73"/>
      <c r="I763" s="73"/>
      <c r="J763" s="73"/>
      <c r="K763" s="73"/>
      <c r="L763" s="73"/>
      <c r="M763" s="73"/>
      <c r="N763" s="73"/>
      <c r="O763" s="73"/>
      <c r="P763" s="73"/>
      <c r="Q763" s="73"/>
      <c r="R763" s="73"/>
      <c r="S763" s="73"/>
      <c r="T763" s="73"/>
      <c r="U763" s="74"/>
    </row>
    <row r="764" spans="2:21" s="15" customFormat="1" x14ac:dyDescent="0.25">
      <c r="B764" s="72" t="s">
        <v>3085</v>
      </c>
      <c r="C764" s="73"/>
      <c r="D764" s="73"/>
      <c r="E764" s="73"/>
      <c r="F764" s="73"/>
      <c r="G764" s="73"/>
      <c r="H764" s="73"/>
      <c r="I764" s="73"/>
      <c r="J764" s="73"/>
      <c r="K764" s="73"/>
      <c r="L764" s="73"/>
      <c r="M764" s="73"/>
      <c r="N764" s="73"/>
      <c r="O764" s="73"/>
      <c r="P764" s="73"/>
      <c r="Q764" s="73"/>
      <c r="R764" s="73"/>
      <c r="S764" s="73"/>
      <c r="T764" s="73"/>
      <c r="U764" s="74"/>
    </row>
    <row r="765" spans="2:21" s="15" customFormat="1" x14ac:dyDescent="0.25">
      <c r="B765" s="72" t="s">
        <v>3401</v>
      </c>
      <c r="C765" s="73"/>
      <c r="D765" s="73"/>
      <c r="E765" s="73"/>
      <c r="F765" s="73"/>
      <c r="G765" s="73"/>
      <c r="H765" s="73"/>
      <c r="I765" s="73"/>
      <c r="J765" s="73"/>
      <c r="K765" s="73"/>
      <c r="L765" s="73"/>
      <c r="M765" s="73"/>
      <c r="N765" s="73"/>
      <c r="O765" s="73"/>
      <c r="P765" s="73"/>
      <c r="Q765" s="73"/>
      <c r="R765" s="73"/>
      <c r="S765" s="73"/>
      <c r="T765" s="73"/>
      <c r="U765" s="74"/>
    </row>
    <row r="766" spans="2:21" s="15" customFormat="1" x14ac:dyDescent="0.25">
      <c r="B766" s="72" t="s">
        <v>3183</v>
      </c>
      <c r="C766" s="73"/>
      <c r="D766" s="73"/>
      <c r="E766" s="73"/>
      <c r="F766" s="73"/>
      <c r="G766" s="73"/>
      <c r="H766" s="73"/>
      <c r="I766" s="73"/>
      <c r="J766" s="73"/>
      <c r="K766" s="73"/>
      <c r="L766" s="73"/>
      <c r="M766" s="73"/>
      <c r="N766" s="73"/>
      <c r="O766" s="73"/>
      <c r="P766" s="73"/>
      <c r="Q766" s="73"/>
      <c r="R766" s="73"/>
      <c r="S766" s="73"/>
      <c r="T766" s="73"/>
      <c r="U766" s="74"/>
    </row>
    <row r="767" spans="2:21" s="15" customFormat="1" x14ac:dyDescent="0.25">
      <c r="B767" s="72" t="s">
        <v>3168</v>
      </c>
      <c r="C767" s="73"/>
      <c r="D767" s="73"/>
      <c r="E767" s="73"/>
      <c r="F767" s="73"/>
      <c r="G767" s="73"/>
      <c r="H767" s="73"/>
      <c r="I767" s="73"/>
      <c r="J767" s="73"/>
      <c r="K767" s="73"/>
      <c r="L767" s="73"/>
      <c r="M767" s="73"/>
      <c r="N767" s="73"/>
      <c r="O767" s="73"/>
      <c r="P767" s="73"/>
      <c r="Q767" s="73"/>
      <c r="R767" s="73"/>
      <c r="S767" s="73"/>
      <c r="T767" s="73"/>
      <c r="U767" s="74"/>
    </row>
    <row r="768" spans="2:21" s="15" customFormat="1" x14ac:dyDescent="0.25">
      <c r="B768" s="72" t="s">
        <v>3169</v>
      </c>
      <c r="C768" s="73"/>
      <c r="D768" s="73"/>
      <c r="E768" s="73"/>
      <c r="F768" s="73"/>
      <c r="G768" s="73"/>
      <c r="H768" s="73"/>
      <c r="I768" s="73"/>
      <c r="J768" s="73"/>
      <c r="K768" s="73"/>
      <c r="L768" s="73"/>
      <c r="M768" s="73"/>
      <c r="N768" s="73"/>
      <c r="O768" s="73"/>
      <c r="P768" s="73"/>
      <c r="Q768" s="73"/>
      <c r="R768" s="73"/>
      <c r="S768" s="73"/>
      <c r="T768" s="73"/>
      <c r="U768" s="74"/>
    </row>
    <row r="769" spans="2:21" s="15" customFormat="1" x14ac:dyDescent="0.25">
      <c r="B769" s="72" t="s">
        <v>3283</v>
      </c>
      <c r="C769" s="73"/>
      <c r="D769" s="73"/>
      <c r="E769" s="73"/>
      <c r="F769" s="73"/>
      <c r="G769" s="73"/>
      <c r="H769" s="73"/>
      <c r="I769" s="73"/>
      <c r="J769" s="73"/>
      <c r="K769" s="73"/>
      <c r="L769" s="73"/>
      <c r="M769" s="73"/>
      <c r="N769" s="73"/>
      <c r="O769" s="73"/>
      <c r="P769" s="73"/>
      <c r="Q769" s="73"/>
      <c r="R769" s="73"/>
      <c r="S769" s="73"/>
      <c r="T769" s="73"/>
      <c r="U769" s="74"/>
    </row>
    <row r="770" spans="2:21" s="15" customFormat="1" x14ac:dyDescent="0.25">
      <c r="B770" s="72" t="s">
        <v>3284</v>
      </c>
      <c r="C770" s="73"/>
      <c r="D770" s="73"/>
      <c r="E770" s="73"/>
      <c r="F770" s="73"/>
      <c r="G770" s="73"/>
      <c r="H770" s="73"/>
      <c r="I770" s="73"/>
      <c r="J770" s="73"/>
      <c r="K770" s="73"/>
      <c r="L770" s="73"/>
      <c r="M770" s="73"/>
      <c r="N770" s="73"/>
      <c r="O770" s="73"/>
      <c r="P770" s="73"/>
      <c r="Q770" s="73"/>
      <c r="R770" s="73"/>
      <c r="S770" s="73"/>
      <c r="T770" s="73"/>
      <c r="U770" s="74"/>
    </row>
    <row r="771" spans="2:21" s="15" customFormat="1" x14ac:dyDescent="0.25">
      <c r="B771" s="72" t="s">
        <v>3172</v>
      </c>
      <c r="C771" s="73"/>
      <c r="D771" s="73"/>
      <c r="E771" s="73"/>
      <c r="F771" s="73"/>
      <c r="G771" s="73"/>
      <c r="H771" s="73"/>
      <c r="I771" s="73"/>
      <c r="J771" s="73"/>
      <c r="K771" s="73"/>
      <c r="L771" s="73"/>
      <c r="M771" s="73"/>
      <c r="N771" s="73"/>
      <c r="O771" s="73"/>
      <c r="P771" s="73"/>
      <c r="Q771" s="73"/>
      <c r="R771" s="73"/>
      <c r="S771" s="73"/>
      <c r="T771" s="73"/>
      <c r="U771" s="74"/>
    </row>
    <row r="772" spans="2:21" s="15" customFormat="1" x14ac:dyDescent="0.25">
      <c r="B772" s="72" t="s">
        <v>3285</v>
      </c>
      <c r="C772" s="73"/>
      <c r="D772" s="73"/>
      <c r="E772" s="73"/>
      <c r="F772" s="73"/>
      <c r="G772" s="73"/>
      <c r="H772" s="73"/>
      <c r="I772" s="73"/>
      <c r="J772" s="73"/>
      <c r="K772" s="73"/>
      <c r="L772" s="73"/>
      <c r="M772" s="73"/>
      <c r="N772" s="73"/>
      <c r="O772" s="73"/>
      <c r="P772" s="73"/>
      <c r="Q772" s="73"/>
      <c r="R772" s="73"/>
      <c r="S772" s="73"/>
      <c r="T772" s="73"/>
      <c r="U772" s="74"/>
    </row>
    <row r="773" spans="2:21" s="15" customFormat="1" x14ac:dyDescent="0.25">
      <c r="B773" s="72" t="s">
        <v>3391</v>
      </c>
      <c r="C773" s="73"/>
      <c r="D773" s="73"/>
      <c r="E773" s="73"/>
      <c r="F773" s="73"/>
      <c r="G773" s="73"/>
      <c r="H773" s="73"/>
      <c r="I773" s="73"/>
      <c r="J773" s="73"/>
      <c r="K773" s="73"/>
      <c r="L773" s="73"/>
      <c r="M773" s="73"/>
      <c r="N773" s="73"/>
      <c r="O773" s="73"/>
      <c r="P773" s="73"/>
      <c r="Q773" s="73"/>
      <c r="R773" s="73"/>
      <c r="S773" s="73"/>
      <c r="T773" s="73"/>
      <c r="U773" s="74"/>
    </row>
    <row r="774" spans="2:21" s="15" customFormat="1" x14ac:dyDescent="0.25">
      <c r="B774" s="72" t="s">
        <v>3175</v>
      </c>
      <c r="C774" s="73"/>
      <c r="D774" s="73"/>
      <c r="E774" s="73"/>
      <c r="F774" s="73"/>
      <c r="G774" s="73"/>
      <c r="H774" s="73"/>
      <c r="I774" s="73"/>
      <c r="J774" s="73"/>
      <c r="K774" s="73"/>
      <c r="L774" s="73"/>
      <c r="M774" s="73"/>
      <c r="N774" s="73"/>
      <c r="O774" s="73"/>
      <c r="P774" s="73"/>
      <c r="Q774" s="73"/>
      <c r="R774" s="73"/>
      <c r="S774" s="73"/>
      <c r="T774" s="73"/>
      <c r="U774" s="74"/>
    </row>
    <row r="775" spans="2:21" s="15" customFormat="1" x14ac:dyDescent="0.25">
      <c r="B775" s="72" t="s">
        <v>3292</v>
      </c>
      <c r="C775" s="73"/>
      <c r="D775" s="73"/>
      <c r="E775" s="73"/>
      <c r="F775" s="73"/>
      <c r="G775" s="73"/>
      <c r="H775" s="73"/>
      <c r="I775" s="73"/>
      <c r="J775" s="73"/>
      <c r="K775" s="73"/>
      <c r="L775" s="73"/>
      <c r="M775" s="73"/>
      <c r="N775" s="73"/>
      <c r="O775" s="73"/>
      <c r="P775" s="73"/>
      <c r="Q775" s="73"/>
      <c r="R775" s="73"/>
      <c r="S775" s="73"/>
      <c r="T775" s="73"/>
      <c r="U775" s="74"/>
    </row>
    <row r="776" spans="2:21" s="15" customFormat="1" x14ac:dyDescent="0.25">
      <c r="B776" s="72" t="s">
        <v>3288</v>
      </c>
      <c r="C776" s="73"/>
      <c r="D776" s="73"/>
      <c r="E776" s="73"/>
      <c r="F776" s="73"/>
      <c r="G776" s="73"/>
      <c r="H776" s="73"/>
      <c r="I776" s="73"/>
      <c r="J776" s="73"/>
      <c r="K776" s="73"/>
      <c r="L776" s="73"/>
      <c r="M776" s="73"/>
      <c r="N776" s="73"/>
      <c r="O776" s="73"/>
      <c r="P776" s="73"/>
      <c r="Q776" s="73"/>
      <c r="R776" s="73"/>
      <c r="S776" s="73"/>
      <c r="T776" s="73"/>
      <c r="U776" s="74"/>
    </row>
    <row r="777" spans="2:21" s="15" customFormat="1" x14ac:dyDescent="0.25">
      <c r="B777" s="72" t="s">
        <v>3289</v>
      </c>
      <c r="C777" s="73"/>
      <c r="D777" s="73"/>
      <c r="E777" s="73"/>
      <c r="F777" s="73"/>
      <c r="G777" s="73"/>
      <c r="H777" s="73"/>
      <c r="I777" s="73"/>
      <c r="J777" s="73"/>
      <c r="K777" s="73"/>
      <c r="L777" s="73"/>
      <c r="M777" s="73"/>
      <c r="N777" s="73"/>
      <c r="O777" s="73"/>
      <c r="P777" s="73"/>
      <c r="Q777" s="73"/>
      <c r="R777" s="73"/>
      <c r="S777" s="73"/>
      <c r="T777" s="73"/>
      <c r="U777" s="74"/>
    </row>
    <row r="778" spans="2:21" s="15" customFormat="1" x14ac:dyDescent="0.25">
      <c r="B778" s="72" t="s">
        <v>3392</v>
      </c>
      <c r="C778" s="73"/>
      <c r="D778" s="73"/>
      <c r="E778" s="73"/>
      <c r="F778" s="73"/>
      <c r="G778" s="73"/>
      <c r="H778" s="73"/>
      <c r="I778" s="73"/>
      <c r="J778" s="73"/>
      <c r="K778" s="73"/>
      <c r="L778" s="73"/>
      <c r="M778" s="73"/>
      <c r="N778" s="73"/>
      <c r="O778" s="73"/>
      <c r="P778" s="73"/>
      <c r="Q778" s="73"/>
      <c r="R778" s="73"/>
      <c r="S778" s="73"/>
      <c r="T778" s="73"/>
      <c r="U778" s="74"/>
    </row>
    <row r="779" spans="2:21" s="15" customFormat="1" x14ac:dyDescent="0.25">
      <c r="B779" s="72" t="s">
        <v>3293</v>
      </c>
      <c r="C779" s="73"/>
      <c r="D779" s="73"/>
      <c r="E779" s="73"/>
      <c r="F779" s="73"/>
      <c r="G779" s="73"/>
      <c r="H779" s="73"/>
      <c r="I779" s="73"/>
      <c r="J779" s="73"/>
      <c r="K779" s="73"/>
      <c r="L779" s="73"/>
      <c r="M779" s="73"/>
      <c r="N779" s="73"/>
      <c r="O779" s="73"/>
      <c r="P779" s="73"/>
      <c r="Q779" s="73"/>
      <c r="R779" s="73"/>
      <c r="S779" s="73"/>
      <c r="T779" s="73"/>
      <c r="U779" s="74"/>
    </row>
    <row r="780" spans="2:21" s="15" customFormat="1" x14ac:dyDescent="0.25">
      <c r="B780" s="72" t="s">
        <v>3181</v>
      </c>
      <c r="C780" s="73"/>
      <c r="D780" s="73"/>
      <c r="E780" s="73"/>
      <c r="F780" s="73"/>
      <c r="G780" s="73"/>
      <c r="H780" s="73"/>
      <c r="I780" s="73"/>
      <c r="J780" s="73"/>
      <c r="K780" s="73"/>
      <c r="L780" s="73"/>
      <c r="M780" s="73"/>
      <c r="N780" s="73"/>
      <c r="O780" s="73"/>
      <c r="P780" s="73"/>
      <c r="Q780" s="73"/>
      <c r="R780" s="73"/>
      <c r="S780" s="73"/>
      <c r="T780" s="73"/>
      <c r="U780" s="74"/>
    </row>
    <row r="781" spans="2:21" s="15" customFormat="1" x14ac:dyDescent="0.25">
      <c r="B781" s="72" t="s">
        <v>3085</v>
      </c>
      <c r="C781" s="73"/>
      <c r="D781" s="73"/>
      <c r="E781" s="73"/>
      <c r="F781" s="73"/>
      <c r="G781" s="73"/>
      <c r="H781" s="73"/>
      <c r="I781" s="73"/>
      <c r="J781" s="73"/>
      <c r="K781" s="73"/>
      <c r="L781" s="73"/>
      <c r="M781" s="73"/>
      <c r="N781" s="73"/>
      <c r="O781" s="73"/>
      <c r="P781" s="73"/>
      <c r="Q781" s="73"/>
      <c r="R781" s="73"/>
      <c r="S781" s="73"/>
      <c r="T781" s="73"/>
      <c r="U781" s="74"/>
    </row>
    <row r="782" spans="2:21" s="15" customFormat="1" x14ac:dyDescent="0.25">
      <c r="B782" s="72" t="s">
        <v>3401</v>
      </c>
      <c r="C782" s="73"/>
      <c r="D782" s="73"/>
      <c r="E782" s="73"/>
      <c r="F782" s="73"/>
      <c r="G782" s="73"/>
      <c r="H782" s="73"/>
      <c r="I782" s="73"/>
      <c r="J782" s="73"/>
      <c r="K782" s="73"/>
      <c r="L782" s="73"/>
      <c r="M782" s="73"/>
      <c r="N782" s="73"/>
      <c r="O782" s="73"/>
      <c r="P782" s="73"/>
      <c r="Q782" s="73"/>
      <c r="R782" s="73"/>
      <c r="S782" s="73"/>
      <c r="T782" s="73"/>
      <c r="U782" s="74"/>
    </row>
    <row r="783" spans="2:21" s="15" customFormat="1" x14ac:dyDescent="0.25">
      <c r="B783" s="72" t="s">
        <v>3203</v>
      </c>
      <c r="C783" s="73"/>
      <c r="D783" s="73"/>
      <c r="E783" s="73"/>
      <c r="F783" s="73"/>
      <c r="G783" s="73"/>
      <c r="H783" s="73"/>
      <c r="I783" s="73"/>
      <c r="J783" s="73"/>
      <c r="K783" s="73"/>
      <c r="L783" s="73"/>
      <c r="M783" s="73"/>
      <c r="N783" s="73"/>
      <c r="O783" s="73"/>
      <c r="P783" s="73"/>
      <c r="Q783" s="73"/>
      <c r="R783" s="73"/>
      <c r="S783" s="73"/>
      <c r="T783" s="73"/>
      <c r="U783" s="74"/>
    </row>
    <row r="784" spans="2:21" s="15" customFormat="1" x14ac:dyDescent="0.25">
      <c r="B784" s="72" t="s">
        <v>3296</v>
      </c>
      <c r="C784" s="73"/>
      <c r="D784" s="73"/>
      <c r="E784" s="73"/>
      <c r="F784" s="73"/>
      <c r="G784" s="73"/>
      <c r="H784" s="73"/>
      <c r="I784" s="73"/>
      <c r="J784" s="73"/>
      <c r="K784" s="73"/>
      <c r="L784" s="73"/>
      <c r="M784" s="73"/>
      <c r="N784" s="73"/>
      <c r="O784" s="73"/>
      <c r="P784" s="73"/>
      <c r="Q784" s="73"/>
      <c r="R784" s="73"/>
      <c r="S784" s="73"/>
      <c r="T784" s="73"/>
      <c r="U784" s="74"/>
    </row>
    <row r="785" spans="2:21" s="15" customFormat="1" x14ac:dyDescent="0.25">
      <c r="B785" s="72" t="s">
        <v>3282</v>
      </c>
      <c r="C785" s="73"/>
      <c r="D785" s="73"/>
      <c r="E785" s="73"/>
      <c r="F785" s="73"/>
      <c r="G785" s="73"/>
      <c r="H785" s="73"/>
      <c r="I785" s="73"/>
      <c r="J785" s="73"/>
      <c r="K785" s="73"/>
      <c r="L785" s="73"/>
      <c r="M785" s="73"/>
      <c r="N785" s="73"/>
      <c r="O785" s="73"/>
      <c r="P785" s="73"/>
      <c r="Q785" s="73"/>
      <c r="R785" s="73"/>
      <c r="S785" s="73"/>
      <c r="T785" s="73"/>
      <c r="U785" s="74"/>
    </row>
    <row r="786" spans="2:21" s="15" customFormat="1" x14ac:dyDescent="0.25">
      <c r="B786" s="72" t="s">
        <v>3297</v>
      </c>
      <c r="C786" s="73"/>
      <c r="D786" s="73"/>
      <c r="E786" s="73"/>
      <c r="F786" s="73"/>
      <c r="G786" s="73"/>
      <c r="H786" s="73"/>
      <c r="I786" s="73"/>
      <c r="J786" s="73"/>
      <c r="K786" s="73"/>
      <c r="L786" s="73"/>
      <c r="M786" s="73"/>
      <c r="N786" s="73"/>
      <c r="O786" s="73"/>
      <c r="P786" s="73"/>
      <c r="Q786" s="73"/>
      <c r="R786" s="73"/>
      <c r="S786" s="73"/>
      <c r="T786" s="73"/>
      <c r="U786" s="74"/>
    </row>
    <row r="787" spans="2:21" s="15" customFormat="1" x14ac:dyDescent="0.25">
      <c r="B787" s="72" t="s">
        <v>3171</v>
      </c>
      <c r="C787" s="73"/>
      <c r="D787" s="73"/>
      <c r="E787" s="73"/>
      <c r="F787" s="73"/>
      <c r="G787" s="73"/>
      <c r="H787" s="73"/>
      <c r="I787" s="73"/>
      <c r="J787" s="73"/>
      <c r="K787" s="73"/>
      <c r="L787" s="73"/>
      <c r="M787" s="73"/>
      <c r="N787" s="73"/>
      <c r="O787" s="73"/>
      <c r="P787" s="73"/>
      <c r="Q787" s="73"/>
      <c r="R787" s="73"/>
      <c r="S787" s="73"/>
      <c r="T787" s="73"/>
      <c r="U787" s="74"/>
    </row>
    <row r="788" spans="2:21" s="15" customFormat="1" x14ac:dyDescent="0.25">
      <c r="B788" s="72" t="s">
        <v>3172</v>
      </c>
      <c r="C788" s="73"/>
      <c r="D788" s="73"/>
      <c r="E788" s="73"/>
      <c r="F788" s="73"/>
      <c r="G788" s="73"/>
      <c r="H788" s="73"/>
      <c r="I788" s="73"/>
      <c r="J788" s="73"/>
      <c r="K788" s="73"/>
      <c r="L788" s="73"/>
      <c r="M788" s="73"/>
      <c r="N788" s="73"/>
      <c r="O788" s="73"/>
      <c r="P788" s="73"/>
      <c r="Q788" s="73"/>
      <c r="R788" s="73"/>
      <c r="S788" s="73"/>
      <c r="T788" s="73"/>
      <c r="U788" s="74"/>
    </row>
    <row r="789" spans="2:21" s="15" customFormat="1" x14ac:dyDescent="0.25">
      <c r="B789" s="72" t="s">
        <v>3173</v>
      </c>
      <c r="C789" s="73"/>
      <c r="D789" s="73"/>
      <c r="E789" s="73"/>
      <c r="F789" s="73"/>
      <c r="G789" s="73"/>
      <c r="H789" s="73"/>
      <c r="I789" s="73"/>
      <c r="J789" s="73"/>
      <c r="K789" s="73"/>
      <c r="L789" s="73"/>
      <c r="M789" s="73"/>
      <c r="N789" s="73"/>
      <c r="O789" s="73"/>
      <c r="P789" s="73"/>
      <c r="Q789" s="73"/>
      <c r="R789" s="73"/>
      <c r="S789" s="73"/>
      <c r="T789" s="73"/>
      <c r="U789" s="74"/>
    </row>
    <row r="790" spans="2:21" s="15" customFormat="1" x14ac:dyDescent="0.25">
      <c r="B790" s="72" t="s">
        <v>3174</v>
      </c>
      <c r="C790" s="73"/>
      <c r="D790" s="73"/>
      <c r="E790" s="73"/>
      <c r="F790" s="73"/>
      <c r="G790" s="73"/>
      <c r="H790" s="73"/>
      <c r="I790" s="73"/>
      <c r="J790" s="73"/>
      <c r="K790" s="73"/>
      <c r="L790" s="73"/>
      <c r="M790" s="73"/>
      <c r="N790" s="73"/>
      <c r="O790" s="73"/>
      <c r="P790" s="73"/>
      <c r="Q790" s="73"/>
      <c r="R790" s="73"/>
      <c r="S790" s="73"/>
      <c r="T790" s="73"/>
      <c r="U790" s="74"/>
    </row>
    <row r="791" spans="2:21" s="15" customFormat="1" x14ac:dyDescent="0.25">
      <c r="B791" s="72" t="s">
        <v>3298</v>
      </c>
      <c r="C791" s="73"/>
      <c r="D791" s="73"/>
      <c r="E791" s="73"/>
      <c r="F791" s="73"/>
      <c r="G791" s="73"/>
      <c r="H791" s="73"/>
      <c r="I791" s="73"/>
      <c r="J791" s="73"/>
      <c r="K791" s="73"/>
      <c r="L791" s="73"/>
      <c r="M791" s="73"/>
      <c r="N791" s="73"/>
      <c r="O791" s="73"/>
      <c r="P791" s="73"/>
      <c r="Q791" s="73"/>
      <c r="R791" s="73"/>
      <c r="S791" s="73"/>
      <c r="T791" s="73"/>
      <c r="U791" s="74"/>
    </row>
    <row r="792" spans="2:21" s="15" customFormat="1" x14ac:dyDescent="0.25">
      <c r="B792" s="72" t="s">
        <v>3176</v>
      </c>
      <c r="C792" s="73"/>
      <c r="D792" s="73"/>
      <c r="E792" s="73"/>
      <c r="F792" s="73"/>
      <c r="G792" s="73"/>
      <c r="H792" s="73"/>
      <c r="I792" s="73"/>
      <c r="J792" s="73"/>
      <c r="K792" s="73"/>
      <c r="L792" s="73"/>
      <c r="M792" s="73"/>
      <c r="N792" s="73"/>
      <c r="O792" s="73"/>
      <c r="P792" s="73"/>
      <c r="Q792" s="73"/>
      <c r="R792" s="73"/>
      <c r="S792" s="73"/>
      <c r="T792" s="73"/>
      <c r="U792" s="74"/>
    </row>
    <row r="793" spans="2:21" s="15" customFormat="1" x14ac:dyDescent="0.25">
      <c r="B793" s="72" t="s">
        <v>3300</v>
      </c>
      <c r="C793" s="73"/>
      <c r="D793" s="73"/>
      <c r="E793" s="73"/>
      <c r="F793" s="73"/>
      <c r="G793" s="73"/>
      <c r="H793" s="73"/>
      <c r="I793" s="73"/>
      <c r="J793" s="73"/>
      <c r="K793" s="73"/>
      <c r="L793" s="73"/>
      <c r="M793" s="73"/>
      <c r="N793" s="73"/>
      <c r="O793" s="73"/>
      <c r="P793" s="73"/>
      <c r="Q793" s="73"/>
      <c r="R793" s="73"/>
      <c r="S793" s="73"/>
      <c r="T793" s="73"/>
      <c r="U793" s="74"/>
    </row>
    <row r="794" spans="2:21" s="15" customFormat="1" x14ac:dyDescent="0.25">
      <c r="B794" s="72" t="s">
        <v>3289</v>
      </c>
      <c r="C794" s="73"/>
      <c r="D794" s="73"/>
      <c r="E794" s="73"/>
      <c r="F794" s="73"/>
      <c r="G794" s="73"/>
      <c r="H794" s="73"/>
      <c r="I794" s="73"/>
      <c r="J794" s="73"/>
      <c r="K794" s="73"/>
      <c r="L794" s="73"/>
      <c r="M794" s="73"/>
      <c r="N794" s="73"/>
      <c r="O794" s="73"/>
      <c r="P794" s="73"/>
      <c r="Q794" s="73"/>
      <c r="R794" s="73"/>
      <c r="S794" s="73"/>
      <c r="T794" s="73"/>
      <c r="U794" s="74"/>
    </row>
    <row r="795" spans="2:21" s="15" customFormat="1" x14ac:dyDescent="0.25">
      <c r="B795" s="72" t="s">
        <v>3392</v>
      </c>
      <c r="C795" s="73"/>
      <c r="D795" s="73"/>
      <c r="E795" s="73"/>
      <c r="F795" s="73"/>
      <c r="G795" s="73"/>
      <c r="H795" s="73"/>
      <c r="I795" s="73"/>
      <c r="J795" s="73"/>
      <c r="K795" s="73"/>
      <c r="L795" s="73"/>
      <c r="M795" s="73"/>
      <c r="N795" s="73"/>
      <c r="O795" s="73"/>
      <c r="P795" s="73"/>
      <c r="Q795" s="73"/>
      <c r="R795" s="73"/>
      <c r="S795" s="73"/>
      <c r="T795" s="73"/>
      <c r="U795" s="74"/>
    </row>
    <row r="796" spans="2:21" s="15" customFormat="1" x14ac:dyDescent="0.25">
      <c r="B796" s="72" t="s">
        <v>3293</v>
      </c>
      <c r="C796" s="73"/>
      <c r="D796" s="73"/>
      <c r="E796" s="73"/>
      <c r="F796" s="73"/>
      <c r="G796" s="73"/>
      <c r="H796" s="73"/>
      <c r="I796" s="73"/>
      <c r="J796" s="73"/>
      <c r="K796" s="73"/>
      <c r="L796" s="73"/>
      <c r="M796" s="73"/>
      <c r="N796" s="73"/>
      <c r="O796" s="73"/>
      <c r="P796" s="73"/>
      <c r="Q796" s="73"/>
      <c r="R796" s="73"/>
      <c r="S796" s="73"/>
      <c r="T796" s="73"/>
      <c r="U796" s="74"/>
    </row>
    <row r="797" spans="2:21" s="15" customFormat="1" x14ac:dyDescent="0.25">
      <c r="B797" s="72" t="s">
        <v>3083</v>
      </c>
      <c r="C797" s="73"/>
      <c r="D797" s="73"/>
      <c r="E797" s="73"/>
      <c r="F797" s="73"/>
      <c r="G797" s="73"/>
      <c r="H797" s="73"/>
      <c r="I797" s="73"/>
      <c r="J797" s="73"/>
      <c r="K797" s="73"/>
      <c r="L797" s="73"/>
      <c r="M797" s="73"/>
      <c r="N797" s="73"/>
      <c r="O797" s="73"/>
      <c r="P797" s="73"/>
      <c r="Q797" s="73"/>
      <c r="R797" s="73"/>
      <c r="S797" s="73"/>
      <c r="T797" s="73"/>
      <c r="U797" s="74"/>
    </row>
    <row r="798" spans="2:21" s="15" customFormat="1" x14ac:dyDescent="0.25">
      <c r="B798" s="72" t="s">
        <v>3093</v>
      </c>
      <c r="C798" s="73"/>
      <c r="D798" s="73"/>
      <c r="E798" s="73"/>
      <c r="F798" s="73"/>
      <c r="G798" s="73"/>
      <c r="H798" s="73"/>
      <c r="I798" s="73"/>
      <c r="J798" s="73"/>
      <c r="K798" s="73"/>
      <c r="L798" s="73"/>
      <c r="M798" s="73"/>
      <c r="N798" s="73"/>
      <c r="O798" s="73"/>
      <c r="P798" s="73"/>
      <c r="Q798" s="73"/>
      <c r="R798" s="73"/>
      <c r="S798" s="73"/>
      <c r="T798" s="73"/>
      <c r="U798" s="74"/>
    </row>
    <row r="799" spans="2:21" s="15" customFormat="1" x14ac:dyDescent="0.25">
      <c r="B799" s="72" t="s">
        <v>3195</v>
      </c>
      <c r="C799" s="73"/>
      <c r="D799" s="73"/>
      <c r="E799" s="73"/>
      <c r="F799" s="73"/>
      <c r="G799" s="73"/>
      <c r="H799" s="73"/>
      <c r="I799" s="73"/>
      <c r="J799" s="73"/>
      <c r="K799" s="73"/>
      <c r="L799" s="73"/>
      <c r="M799" s="73"/>
      <c r="N799" s="73"/>
      <c r="O799" s="73"/>
      <c r="P799" s="73"/>
      <c r="Q799" s="73"/>
      <c r="R799" s="73"/>
      <c r="S799" s="73"/>
      <c r="T799" s="73"/>
      <c r="U799" s="74"/>
    </row>
    <row r="800" spans="2:21" s="15" customFormat="1" x14ac:dyDescent="0.25">
      <c r="B800" s="72" t="s">
        <v>3085</v>
      </c>
      <c r="C800" s="73"/>
      <c r="D800" s="73"/>
      <c r="E800" s="73"/>
      <c r="F800" s="73"/>
      <c r="G800" s="73"/>
      <c r="H800" s="73"/>
      <c r="I800" s="73"/>
      <c r="J800" s="73"/>
      <c r="K800" s="73"/>
      <c r="L800" s="73"/>
      <c r="M800" s="73"/>
      <c r="N800" s="73"/>
      <c r="O800" s="73"/>
      <c r="P800" s="73"/>
      <c r="Q800" s="73"/>
      <c r="R800" s="73"/>
      <c r="S800" s="73"/>
      <c r="T800" s="73"/>
      <c r="U800" s="74"/>
    </row>
    <row r="801" spans="2:21" s="15" customFormat="1" x14ac:dyDescent="0.25">
      <c r="B801" s="72" t="s">
        <v>3402</v>
      </c>
      <c r="C801" s="73"/>
      <c r="D801" s="73"/>
      <c r="E801" s="73"/>
      <c r="F801" s="73"/>
      <c r="G801" s="73"/>
      <c r="H801" s="73"/>
      <c r="I801" s="73"/>
      <c r="J801" s="73"/>
      <c r="K801" s="73"/>
      <c r="L801" s="73"/>
      <c r="M801" s="73"/>
      <c r="N801" s="73"/>
      <c r="O801" s="73"/>
      <c r="P801" s="73"/>
      <c r="Q801" s="73"/>
      <c r="R801" s="73"/>
      <c r="S801" s="73"/>
      <c r="T801" s="73"/>
      <c r="U801" s="74"/>
    </row>
    <row r="802" spans="2:21" s="15" customFormat="1" x14ac:dyDescent="0.25">
      <c r="B802" s="72" t="s">
        <v>3403</v>
      </c>
      <c r="C802" s="73"/>
      <c r="D802" s="73"/>
      <c r="E802" s="73"/>
      <c r="F802" s="73"/>
      <c r="G802" s="73"/>
      <c r="H802" s="73"/>
      <c r="I802" s="73"/>
      <c r="J802" s="73"/>
      <c r="K802" s="73"/>
      <c r="L802" s="73"/>
      <c r="M802" s="73"/>
      <c r="N802" s="73"/>
      <c r="O802" s="73"/>
      <c r="P802" s="73"/>
      <c r="Q802" s="73"/>
      <c r="R802" s="73"/>
      <c r="S802" s="73"/>
      <c r="T802" s="73"/>
      <c r="U802" s="74"/>
    </row>
    <row r="803" spans="2:21" s="15" customFormat="1" x14ac:dyDescent="0.25">
      <c r="B803" s="72" t="s">
        <v>3306</v>
      </c>
      <c r="C803" s="73"/>
      <c r="D803" s="73"/>
      <c r="E803" s="73"/>
      <c r="F803" s="73"/>
      <c r="G803" s="73"/>
      <c r="H803" s="73"/>
      <c r="I803" s="73"/>
      <c r="J803" s="73"/>
      <c r="K803" s="73"/>
      <c r="L803" s="73"/>
      <c r="M803" s="73"/>
      <c r="N803" s="73"/>
      <c r="O803" s="73"/>
      <c r="P803" s="73"/>
      <c r="Q803" s="73"/>
      <c r="R803" s="73"/>
      <c r="S803" s="73"/>
      <c r="T803" s="73"/>
      <c r="U803" s="74"/>
    </row>
    <row r="804" spans="2:21" s="15" customFormat="1" x14ac:dyDescent="0.25">
      <c r="B804" s="72" t="s">
        <v>3404</v>
      </c>
      <c r="C804" s="73"/>
      <c r="D804" s="73"/>
      <c r="E804" s="73"/>
      <c r="F804" s="73"/>
      <c r="G804" s="73"/>
      <c r="H804" s="73"/>
      <c r="I804" s="73"/>
      <c r="J804" s="73"/>
      <c r="K804" s="73"/>
      <c r="L804" s="73"/>
      <c r="M804" s="73"/>
      <c r="N804" s="73"/>
      <c r="O804" s="73"/>
      <c r="P804" s="73"/>
      <c r="Q804" s="73"/>
      <c r="R804" s="73"/>
      <c r="S804" s="73"/>
      <c r="T804" s="73"/>
      <c r="U804" s="74"/>
    </row>
    <row r="805" spans="2:21" s="15" customFormat="1" x14ac:dyDescent="0.25">
      <c r="B805" s="72" t="s">
        <v>3181</v>
      </c>
      <c r="C805" s="73"/>
      <c r="D805" s="73"/>
      <c r="E805" s="73"/>
      <c r="F805" s="73"/>
      <c r="G805" s="73"/>
      <c r="H805" s="73"/>
      <c r="I805" s="73"/>
      <c r="J805" s="73"/>
      <c r="K805" s="73"/>
      <c r="L805" s="73"/>
      <c r="M805" s="73"/>
      <c r="N805" s="73"/>
      <c r="O805" s="73"/>
      <c r="P805" s="73"/>
      <c r="Q805" s="73"/>
      <c r="R805" s="73"/>
      <c r="S805" s="73"/>
      <c r="T805" s="73"/>
      <c r="U805" s="74"/>
    </row>
    <row r="806" spans="2:21" s="15" customFormat="1" x14ac:dyDescent="0.25">
      <c r="B806" s="72" t="s">
        <v>3085</v>
      </c>
      <c r="C806" s="73"/>
      <c r="D806" s="73"/>
      <c r="E806" s="73"/>
      <c r="F806" s="73"/>
      <c r="G806" s="73"/>
      <c r="H806" s="73"/>
      <c r="I806" s="73"/>
      <c r="J806" s="73"/>
      <c r="K806" s="73"/>
      <c r="L806" s="73"/>
      <c r="M806" s="73"/>
      <c r="N806" s="73"/>
      <c r="O806" s="73"/>
      <c r="P806" s="73"/>
      <c r="Q806" s="73"/>
      <c r="R806" s="73"/>
      <c r="S806" s="73"/>
      <c r="T806" s="73"/>
      <c r="U806" s="74"/>
    </row>
    <row r="807" spans="2:21" s="15" customFormat="1" x14ac:dyDescent="0.25">
      <c r="B807" s="72" t="s">
        <v>3405</v>
      </c>
      <c r="C807" s="73"/>
      <c r="D807" s="73"/>
      <c r="E807" s="73"/>
      <c r="F807" s="73"/>
      <c r="G807" s="73"/>
      <c r="H807" s="73"/>
      <c r="I807" s="73"/>
      <c r="J807" s="73"/>
      <c r="K807" s="73"/>
      <c r="L807" s="73"/>
      <c r="M807" s="73"/>
      <c r="N807" s="73"/>
      <c r="O807" s="73"/>
      <c r="P807" s="73"/>
      <c r="Q807" s="73"/>
      <c r="R807" s="73"/>
      <c r="S807" s="73"/>
      <c r="T807" s="73"/>
      <c r="U807" s="74"/>
    </row>
    <row r="808" spans="2:21" s="15" customFormat="1" x14ac:dyDescent="0.25">
      <c r="B808" s="72" t="s">
        <v>3406</v>
      </c>
      <c r="C808" s="73"/>
      <c r="D808" s="73"/>
      <c r="E808" s="73"/>
      <c r="F808" s="73"/>
      <c r="G808" s="73"/>
      <c r="H808" s="73"/>
      <c r="I808" s="73"/>
      <c r="J808" s="73"/>
      <c r="K808" s="73"/>
      <c r="L808" s="73"/>
      <c r="M808" s="73"/>
      <c r="N808" s="73"/>
      <c r="O808" s="73"/>
      <c r="P808" s="73"/>
      <c r="Q808" s="73"/>
      <c r="R808" s="73"/>
      <c r="S808" s="73"/>
      <c r="T808" s="73"/>
      <c r="U808" s="74"/>
    </row>
    <row r="809" spans="2:21" s="15" customFormat="1" x14ac:dyDescent="0.25">
      <c r="B809" s="72" t="s">
        <v>3407</v>
      </c>
      <c r="C809" s="73"/>
      <c r="D809" s="73"/>
      <c r="E809" s="73"/>
      <c r="F809" s="73"/>
      <c r="G809" s="73"/>
      <c r="H809" s="73"/>
      <c r="I809" s="73"/>
      <c r="J809" s="73"/>
      <c r="K809" s="73"/>
      <c r="L809" s="73"/>
      <c r="M809" s="73"/>
      <c r="N809" s="73"/>
      <c r="O809" s="73"/>
      <c r="P809" s="73"/>
      <c r="Q809" s="73"/>
      <c r="R809" s="73"/>
      <c r="S809" s="73"/>
      <c r="T809" s="73"/>
      <c r="U809" s="74"/>
    </row>
    <row r="810" spans="2:21" s="15" customFormat="1" x14ac:dyDescent="0.25">
      <c r="B810" s="72" t="s">
        <v>3181</v>
      </c>
      <c r="C810" s="73"/>
      <c r="D810" s="73"/>
      <c r="E810" s="73"/>
      <c r="F810" s="73"/>
      <c r="G810" s="73"/>
      <c r="H810" s="73"/>
      <c r="I810" s="73"/>
      <c r="J810" s="73"/>
      <c r="K810" s="73"/>
      <c r="L810" s="73"/>
      <c r="M810" s="73"/>
      <c r="N810" s="73"/>
      <c r="O810" s="73"/>
      <c r="P810" s="73"/>
      <c r="Q810" s="73"/>
      <c r="R810" s="73"/>
      <c r="S810" s="73"/>
      <c r="T810" s="73"/>
      <c r="U810" s="74"/>
    </row>
    <row r="811" spans="2:21" s="15" customFormat="1" x14ac:dyDescent="0.25">
      <c r="B811" s="72" t="s">
        <v>3085</v>
      </c>
      <c r="C811" s="73"/>
      <c r="D811" s="73"/>
      <c r="E811" s="73"/>
      <c r="F811" s="73"/>
      <c r="G811" s="73"/>
      <c r="H811" s="73"/>
      <c r="I811" s="73"/>
      <c r="J811" s="73"/>
      <c r="K811" s="73"/>
      <c r="L811" s="73"/>
      <c r="M811" s="73"/>
      <c r="N811" s="73"/>
      <c r="O811" s="73"/>
      <c r="P811" s="73"/>
      <c r="Q811" s="73"/>
      <c r="R811" s="73"/>
      <c r="S811" s="73"/>
      <c r="T811" s="73"/>
      <c r="U811" s="74"/>
    </row>
    <row r="812" spans="2:21" s="15" customFormat="1" x14ac:dyDescent="0.25">
      <c r="B812" s="72" t="s">
        <v>3408</v>
      </c>
      <c r="C812" s="73"/>
      <c r="D812" s="73"/>
      <c r="E812" s="73"/>
      <c r="F812" s="73"/>
      <c r="G812" s="73"/>
      <c r="H812" s="73"/>
      <c r="I812" s="73"/>
      <c r="J812" s="73"/>
      <c r="K812" s="73"/>
      <c r="L812" s="73"/>
      <c r="M812" s="73"/>
      <c r="N812" s="73"/>
      <c r="O812" s="73"/>
      <c r="P812" s="73"/>
      <c r="Q812" s="73"/>
      <c r="R812" s="73"/>
      <c r="S812" s="73"/>
      <c r="T812" s="73"/>
      <c r="U812" s="74"/>
    </row>
    <row r="813" spans="2:21" s="15" customFormat="1" x14ac:dyDescent="0.25">
      <c r="B813" s="72" t="s">
        <v>3409</v>
      </c>
      <c r="C813" s="73"/>
      <c r="D813" s="73"/>
      <c r="E813" s="73"/>
      <c r="F813" s="73"/>
      <c r="G813" s="73"/>
      <c r="H813" s="73"/>
      <c r="I813" s="73"/>
      <c r="J813" s="73"/>
      <c r="K813" s="73"/>
      <c r="L813" s="73"/>
      <c r="M813" s="73"/>
      <c r="N813" s="73"/>
      <c r="O813" s="73"/>
      <c r="P813" s="73"/>
      <c r="Q813" s="73"/>
      <c r="R813" s="73"/>
      <c r="S813" s="73"/>
      <c r="T813" s="73"/>
      <c r="U813" s="74"/>
    </row>
    <row r="814" spans="2:21" s="15" customFormat="1" x14ac:dyDescent="0.25">
      <c r="B814" s="72" t="s">
        <v>3181</v>
      </c>
      <c r="C814" s="73"/>
      <c r="D814" s="73"/>
      <c r="E814" s="73"/>
      <c r="F814" s="73"/>
      <c r="G814" s="73"/>
      <c r="H814" s="73"/>
      <c r="I814" s="73"/>
      <c r="J814" s="73"/>
      <c r="K814" s="73"/>
      <c r="L814" s="73"/>
      <c r="M814" s="73"/>
      <c r="N814" s="73"/>
      <c r="O814" s="73"/>
      <c r="P814" s="73"/>
      <c r="Q814" s="73"/>
      <c r="R814" s="73"/>
      <c r="S814" s="73"/>
      <c r="T814" s="73"/>
      <c r="U814" s="74"/>
    </row>
    <row r="815" spans="2:21" s="15" customFormat="1" x14ac:dyDescent="0.25">
      <c r="B815" s="72" t="s">
        <v>3085</v>
      </c>
      <c r="C815" s="73"/>
      <c r="D815" s="73"/>
      <c r="E815" s="73"/>
      <c r="F815" s="73"/>
      <c r="G815" s="73"/>
      <c r="H815" s="73"/>
      <c r="I815" s="73"/>
      <c r="J815" s="73"/>
      <c r="K815" s="73"/>
      <c r="L815" s="73"/>
      <c r="M815" s="73"/>
      <c r="N815" s="73"/>
      <c r="O815" s="73"/>
      <c r="P815" s="73"/>
      <c r="Q815" s="73"/>
      <c r="R815" s="73"/>
      <c r="S815" s="73"/>
      <c r="T815" s="73"/>
      <c r="U815" s="74"/>
    </row>
    <row r="816" spans="2:21" s="15" customFormat="1" x14ac:dyDescent="0.25">
      <c r="B816" s="72" t="s">
        <v>3402</v>
      </c>
      <c r="C816" s="73"/>
      <c r="D816" s="73"/>
      <c r="E816" s="73"/>
      <c r="F816" s="73"/>
      <c r="G816" s="73"/>
      <c r="H816" s="73"/>
      <c r="I816" s="73"/>
      <c r="J816" s="73"/>
      <c r="K816" s="73"/>
      <c r="L816" s="73"/>
      <c r="M816" s="73"/>
      <c r="N816" s="73"/>
      <c r="O816" s="73"/>
      <c r="P816" s="73"/>
      <c r="Q816" s="73"/>
      <c r="R816" s="73"/>
      <c r="S816" s="73"/>
      <c r="T816" s="73"/>
      <c r="U816" s="74"/>
    </row>
    <row r="817" spans="2:21" s="15" customFormat="1" x14ac:dyDescent="0.25">
      <c r="B817" s="72" t="s">
        <v>3410</v>
      </c>
      <c r="C817" s="73"/>
      <c r="D817" s="73"/>
      <c r="E817" s="73"/>
      <c r="F817" s="73"/>
      <c r="G817" s="73"/>
      <c r="H817" s="73"/>
      <c r="I817" s="73"/>
      <c r="J817" s="73"/>
      <c r="K817" s="73"/>
      <c r="L817" s="73"/>
      <c r="M817" s="73"/>
      <c r="N817" s="73"/>
      <c r="O817" s="73"/>
      <c r="P817" s="73"/>
      <c r="Q817" s="73"/>
      <c r="R817" s="73"/>
      <c r="S817" s="73"/>
      <c r="T817" s="73"/>
      <c r="U817" s="74"/>
    </row>
    <row r="818" spans="2:21" s="15" customFormat="1" x14ac:dyDescent="0.25">
      <c r="B818" s="72" t="s">
        <v>3312</v>
      </c>
      <c r="C818" s="73"/>
      <c r="D818" s="73"/>
      <c r="E818" s="73"/>
      <c r="F818" s="73"/>
      <c r="G818" s="73"/>
      <c r="H818" s="73"/>
      <c r="I818" s="73"/>
      <c r="J818" s="73"/>
      <c r="K818" s="73"/>
      <c r="L818" s="73"/>
      <c r="M818" s="73"/>
      <c r="N818" s="73"/>
      <c r="O818" s="73"/>
      <c r="P818" s="73"/>
      <c r="Q818" s="73"/>
      <c r="R818" s="73"/>
      <c r="S818" s="73"/>
      <c r="T818" s="73"/>
      <c r="U818" s="74"/>
    </row>
    <row r="819" spans="2:21" s="15" customFormat="1" x14ac:dyDescent="0.25">
      <c r="B819" s="72" t="s">
        <v>3313</v>
      </c>
      <c r="C819" s="73"/>
      <c r="D819" s="73"/>
      <c r="E819" s="73"/>
      <c r="F819" s="73"/>
      <c r="G819" s="73"/>
      <c r="H819" s="73"/>
      <c r="I819" s="73"/>
      <c r="J819" s="73"/>
      <c r="K819" s="73"/>
      <c r="L819" s="73"/>
      <c r="M819" s="73"/>
      <c r="N819" s="73"/>
      <c r="O819" s="73"/>
      <c r="P819" s="73"/>
      <c r="Q819" s="73"/>
      <c r="R819" s="73"/>
      <c r="S819" s="73"/>
      <c r="T819" s="73"/>
      <c r="U819" s="74"/>
    </row>
    <row r="820" spans="2:21" s="15" customFormat="1" x14ac:dyDescent="0.25">
      <c r="B820" s="72" t="s">
        <v>3083</v>
      </c>
      <c r="C820" s="73"/>
      <c r="D820" s="73"/>
      <c r="E820" s="73"/>
      <c r="F820" s="73"/>
      <c r="G820" s="73"/>
      <c r="H820" s="73"/>
      <c r="I820" s="73"/>
      <c r="J820" s="73"/>
      <c r="K820" s="73"/>
      <c r="L820" s="73"/>
      <c r="M820" s="73"/>
      <c r="N820" s="73"/>
      <c r="O820" s="73"/>
      <c r="P820" s="73"/>
      <c r="Q820" s="73"/>
      <c r="R820" s="73"/>
      <c r="S820" s="73"/>
      <c r="T820" s="73"/>
      <c r="U820" s="74"/>
    </row>
    <row r="821" spans="2:21" s="15" customFormat="1" x14ac:dyDescent="0.25">
      <c r="B821" s="72" t="s">
        <v>3093</v>
      </c>
      <c r="C821" s="73"/>
      <c r="D821" s="73"/>
      <c r="E821" s="73"/>
      <c r="F821" s="73"/>
      <c r="G821" s="73"/>
      <c r="H821" s="73"/>
      <c r="I821" s="73"/>
      <c r="J821" s="73"/>
      <c r="K821" s="73"/>
      <c r="L821" s="73"/>
      <c r="M821" s="73"/>
      <c r="N821" s="73"/>
      <c r="O821" s="73"/>
      <c r="P821" s="73"/>
      <c r="Q821" s="73"/>
      <c r="R821" s="73"/>
      <c r="S821" s="73"/>
      <c r="T821" s="73"/>
      <c r="U821" s="74"/>
    </row>
    <row r="822" spans="2:21" s="15" customFormat="1" x14ac:dyDescent="0.25">
      <c r="B822" s="72" t="s">
        <v>3199</v>
      </c>
      <c r="C822" s="73"/>
      <c r="D822" s="73"/>
      <c r="E822" s="73"/>
      <c r="F822" s="73"/>
      <c r="G822" s="73"/>
      <c r="H822" s="73"/>
      <c r="I822" s="73"/>
      <c r="J822" s="73"/>
      <c r="K822" s="73"/>
      <c r="L822" s="73"/>
      <c r="M822" s="73"/>
      <c r="N822" s="73"/>
      <c r="O822" s="73"/>
      <c r="P822" s="73"/>
      <c r="Q822" s="73"/>
      <c r="R822" s="73"/>
      <c r="S822" s="73"/>
      <c r="T822" s="73"/>
      <c r="U822" s="74"/>
    </row>
    <row r="823" spans="2:21" s="15" customFormat="1" x14ac:dyDescent="0.25">
      <c r="B823" s="72" t="s">
        <v>3085</v>
      </c>
      <c r="C823" s="73"/>
      <c r="D823" s="73"/>
      <c r="E823" s="73"/>
      <c r="F823" s="73"/>
      <c r="G823" s="73"/>
      <c r="H823" s="73"/>
      <c r="I823" s="73"/>
      <c r="J823" s="73"/>
      <c r="K823" s="73"/>
      <c r="L823" s="73"/>
      <c r="M823" s="73"/>
      <c r="N823" s="73"/>
      <c r="O823" s="73"/>
      <c r="P823" s="73"/>
      <c r="Q823" s="73"/>
      <c r="R823" s="73"/>
      <c r="S823" s="73"/>
      <c r="T823" s="73"/>
      <c r="U823" s="74"/>
    </row>
    <row r="824" spans="2:21" s="15" customFormat="1" x14ac:dyDescent="0.25">
      <c r="B824" s="72" t="s">
        <v>3200</v>
      </c>
      <c r="C824" s="73"/>
      <c r="D824" s="73"/>
      <c r="E824" s="73"/>
      <c r="F824" s="73"/>
      <c r="G824" s="73"/>
      <c r="H824" s="73"/>
      <c r="I824" s="73"/>
      <c r="J824" s="73"/>
      <c r="K824" s="73"/>
      <c r="L824" s="73"/>
      <c r="M824" s="73"/>
      <c r="N824" s="73"/>
      <c r="O824" s="73"/>
      <c r="P824" s="73"/>
      <c r="Q824" s="73"/>
      <c r="R824" s="73"/>
      <c r="S824" s="73"/>
      <c r="T824" s="73"/>
      <c r="U824" s="74"/>
    </row>
    <row r="825" spans="2:21" s="15" customFormat="1" x14ac:dyDescent="0.25">
      <c r="B825" s="72" t="s">
        <v>3411</v>
      </c>
      <c r="C825" s="73"/>
      <c r="D825" s="73"/>
      <c r="E825" s="73"/>
      <c r="F825" s="73"/>
      <c r="G825" s="73"/>
      <c r="H825" s="73"/>
      <c r="I825" s="73"/>
      <c r="J825" s="73"/>
      <c r="K825" s="73"/>
      <c r="L825" s="73"/>
      <c r="M825" s="73"/>
      <c r="N825" s="73"/>
      <c r="O825" s="73"/>
      <c r="P825" s="73"/>
      <c r="Q825" s="73"/>
      <c r="R825" s="73"/>
      <c r="S825" s="73"/>
      <c r="T825" s="73"/>
      <c r="U825" s="74"/>
    </row>
    <row r="826" spans="2:21" s="15" customFormat="1" x14ac:dyDescent="0.25">
      <c r="B826" s="72" t="s">
        <v>3181</v>
      </c>
      <c r="C826" s="73"/>
      <c r="D826" s="73"/>
      <c r="E826" s="73"/>
      <c r="F826" s="73"/>
      <c r="G826" s="73"/>
      <c r="H826" s="73"/>
      <c r="I826" s="73"/>
      <c r="J826" s="73"/>
      <c r="K826" s="73"/>
      <c r="L826" s="73"/>
      <c r="M826" s="73"/>
      <c r="N826" s="73"/>
      <c r="O826" s="73"/>
      <c r="P826" s="73"/>
      <c r="Q826" s="73"/>
      <c r="R826" s="73"/>
      <c r="S826" s="73"/>
      <c r="T826" s="73"/>
      <c r="U826" s="74"/>
    </row>
    <row r="827" spans="2:21" s="15" customFormat="1" x14ac:dyDescent="0.25">
      <c r="B827" s="72" t="s">
        <v>3085</v>
      </c>
      <c r="C827" s="73"/>
      <c r="D827" s="73"/>
      <c r="E827" s="73"/>
      <c r="F827" s="73"/>
      <c r="G827" s="73"/>
      <c r="H827" s="73"/>
      <c r="I827" s="73"/>
      <c r="J827" s="73"/>
      <c r="K827" s="73"/>
      <c r="L827" s="73"/>
      <c r="M827" s="73"/>
      <c r="N827" s="73"/>
      <c r="O827" s="73"/>
      <c r="P827" s="73"/>
      <c r="Q827" s="73"/>
      <c r="R827" s="73"/>
      <c r="S827" s="73"/>
      <c r="T827" s="73"/>
      <c r="U827" s="74"/>
    </row>
    <row r="828" spans="2:21" s="15" customFormat="1" x14ac:dyDescent="0.25">
      <c r="B828" s="72" t="s">
        <v>3319</v>
      </c>
      <c r="C828" s="73"/>
      <c r="D828" s="73"/>
      <c r="E828" s="73"/>
      <c r="F828" s="73"/>
      <c r="G828" s="73"/>
      <c r="H828" s="73"/>
      <c r="I828" s="73"/>
      <c r="J828" s="73"/>
      <c r="K828" s="73"/>
      <c r="L828" s="73"/>
      <c r="M828" s="73"/>
      <c r="N828" s="73"/>
      <c r="O828" s="73"/>
      <c r="P828" s="73"/>
      <c r="Q828" s="73"/>
      <c r="R828" s="73"/>
      <c r="S828" s="73"/>
      <c r="T828" s="73"/>
      <c r="U828" s="74"/>
    </row>
    <row r="829" spans="2:21" s="15" customFormat="1" x14ac:dyDescent="0.25">
      <c r="B829" s="72" t="s">
        <v>3412</v>
      </c>
      <c r="C829" s="73"/>
      <c r="D829" s="73"/>
      <c r="E829" s="73"/>
      <c r="F829" s="73"/>
      <c r="G829" s="73"/>
      <c r="H829" s="73"/>
      <c r="I829" s="73"/>
      <c r="J829" s="73"/>
      <c r="K829" s="73"/>
      <c r="L829" s="73"/>
      <c r="M829" s="73"/>
      <c r="N829" s="73"/>
      <c r="O829" s="73"/>
      <c r="P829" s="73"/>
      <c r="Q829" s="73"/>
      <c r="R829" s="73"/>
      <c r="S829" s="73"/>
      <c r="T829" s="73"/>
      <c r="U829" s="74"/>
    </row>
    <row r="830" spans="2:21" s="15" customFormat="1" x14ac:dyDescent="0.25">
      <c r="B830" s="72" t="s">
        <v>3181</v>
      </c>
      <c r="C830" s="73"/>
      <c r="D830" s="73"/>
      <c r="E830" s="73"/>
      <c r="F830" s="73"/>
      <c r="G830" s="73"/>
      <c r="H830" s="73"/>
      <c r="I830" s="73"/>
      <c r="J830" s="73"/>
      <c r="K830" s="73"/>
      <c r="L830" s="73"/>
      <c r="M830" s="73"/>
      <c r="N830" s="73"/>
      <c r="O830" s="73"/>
      <c r="P830" s="73"/>
      <c r="Q830" s="73"/>
      <c r="R830" s="73"/>
      <c r="S830" s="73"/>
      <c r="T830" s="73"/>
      <c r="U830" s="74"/>
    </row>
    <row r="831" spans="2:21" s="15" customFormat="1" x14ac:dyDescent="0.25">
      <c r="B831" s="72" t="s">
        <v>3085</v>
      </c>
      <c r="C831" s="73"/>
      <c r="D831" s="73"/>
      <c r="E831" s="73"/>
      <c r="F831" s="73"/>
      <c r="G831" s="73"/>
      <c r="H831" s="73"/>
      <c r="I831" s="73"/>
      <c r="J831" s="73"/>
      <c r="K831" s="73"/>
      <c r="L831" s="73"/>
      <c r="M831" s="73"/>
      <c r="N831" s="73"/>
      <c r="O831" s="73"/>
      <c r="P831" s="73"/>
      <c r="Q831" s="73"/>
      <c r="R831" s="73"/>
      <c r="S831" s="73"/>
      <c r="T831" s="73"/>
      <c r="U831" s="74"/>
    </row>
    <row r="832" spans="2:21" s="15" customFormat="1" x14ac:dyDescent="0.25">
      <c r="B832" s="72" t="s">
        <v>3319</v>
      </c>
      <c r="C832" s="73"/>
      <c r="D832" s="73"/>
      <c r="E832" s="73"/>
      <c r="F832" s="73"/>
      <c r="G832" s="73"/>
      <c r="H832" s="73"/>
      <c r="I832" s="73"/>
      <c r="J832" s="73"/>
      <c r="K832" s="73"/>
      <c r="L832" s="73"/>
      <c r="M832" s="73"/>
      <c r="N832" s="73"/>
      <c r="O832" s="73"/>
      <c r="P832" s="73"/>
      <c r="Q832" s="73"/>
      <c r="R832" s="73"/>
      <c r="S832" s="73"/>
      <c r="T832" s="73"/>
      <c r="U832" s="74"/>
    </row>
    <row r="833" spans="2:21" s="15" customFormat="1" x14ac:dyDescent="0.25">
      <c r="B833" s="72" t="s">
        <v>3413</v>
      </c>
      <c r="C833" s="73"/>
      <c r="D833" s="73"/>
      <c r="E833" s="73"/>
      <c r="F833" s="73"/>
      <c r="G833" s="73"/>
      <c r="H833" s="73"/>
      <c r="I833" s="73"/>
      <c r="J833" s="73"/>
      <c r="K833" s="73"/>
      <c r="L833" s="73"/>
      <c r="M833" s="73"/>
      <c r="N833" s="73"/>
      <c r="O833" s="73"/>
      <c r="P833" s="73"/>
      <c r="Q833" s="73"/>
      <c r="R833" s="73"/>
      <c r="S833" s="73"/>
      <c r="T833" s="73"/>
      <c r="U833" s="74"/>
    </row>
    <row r="834" spans="2:21" s="15" customFormat="1" x14ac:dyDescent="0.25">
      <c r="B834" s="72" t="s">
        <v>3181</v>
      </c>
      <c r="C834" s="73"/>
      <c r="D834" s="73"/>
      <c r="E834" s="73"/>
      <c r="F834" s="73"/>
      <c r="G834" s="73"/>
      <c r="H834" s="73"/>
      <c r="I834" s="73"/>
      <c r="J834" s="73"/>
      <c r="K834" s="73"/>
      <c r="L834" s="73"/>
      <c r="M834" s="73"/>
      <c r="N834" s="73"/>
      <c r="O834" s="73"/>
      <c r="P834" s="73"/>
      <c r="Q834" s="73"/>
      <c r="R834" s="73"/>
      <c r="S834" s="73"/>
      <c r="T834" s="73"/>
      <c r="U834" s="74"/>
    </row>
    <row r="835" spans="2:21" s="15" customFormat="1" x14ac:dyDescent="0.25">
      <c r="B835" s="72" t="s">
        <v>3085</v>
      </c>
      <c r="C835" s="73"/>
      <c r="D835" s="73"/>
      <c r="E835" s="73"/>
      <c r="F835" s="73"/>
      <c r="G835" s="73"/>
      <c r="H835" s="73"/>
      <c r="I835" s="73"/>
      <c r="J835" s="73"/>
      <c r="K835" s="73"/>
      <c r="L835" s="73"/>
      <c r="M835" s="73"/>
      <c r="N835" s="73"/>
      <c r="O835" s="73"/>
      <c r="P835" s="73"/>
      <c r="Q835" s="73"/>
      <c r="R835" s="73"/>
      <c r="S835" s="73"/>
      <c r="T835" s="73"/>
      <c r="U835" s="74"/>
    </row>
    <row r="836" spans="2:21" s="15" customFormat="1" x14ac:dyDescent="0.25">
      <c r="B836" s="72" t="s">
        <v>3319</v>
      </c>
      <c r="C836" s="73"/>
      <c r="D836" s="73"/>
      <c r="E836" s="73"/>
      <c r="F836" s="73"/>
      <c r="G836" s="73"/>
      <c r="H836" s="73"/>
      <c r="I836" s="73"/>
      <c r="J836" s="73"/>
      <c r="K836" s="73"/>
      <c r="L836" s="73"/>
      <c r="M836" s="73"/>
      <c r="N836" s="73"/>
      <c r="O836" s="73"/>
      <c r="P836" s="73"/>
      <c r="Q836" s="73"/>
      <c r="R836" s="73"/>
      <c r="S836" s="73"/>
      <c r="T836" s="73"/>
      <c r="U836" s="74"/>
    </row>
    <row r="837" spans="2:21" s="15" customFormat="1" x14ac:dyDescent="0.25">
      <c r="B837" s="72" t="s">
        <v>3414</v>
      </c>
      <c r="C837" s="73"/>
      <c r="D837" s="73"/>
      <c r="E837" s="73"/>
      <c r="F837" s="73"/>
      <c r="G837" s="73"/>
      <c r="H837" s="73"/>
      <c r="I837" s="73"/>
      <c r="J837" s="73"/>
      <c r="K837" s="73"/>
      <c r="L837" s="73"/>
      <c r="M837" s="73"/>
      <c r="N837" s="73"/>
      <c r="O837" s="73"/>
      <c r="P837" s="73"/>
      <c r="Q837" s="73"/>
      <c r="R837" s="73"/>
      <c r="S837" s="73"/>
      <c r="T837" s="73"/>
      <c r="U837" s="74"/>
    </row>
    <row r="838" spans="2:21" s="15" customFormat="1" x14ac:dyDescent="0.25">
      <c r="B838" s="72" t="s">
        <v>3083</v>
      </c>
      <c r="C838" s="73"/>
      <c r="D838" s="73"/>
      <c r="E838" s="73"/>
      <c r="F838" s="73"/>
      <c r="G838" s="73"/>
      <c r="H838" s="73"/>
      <c r="I838" s="73"/>
      <c r="J838" s="73"/>
      <c r="K838" s="73"/>
      <c r="L838" s="73"/>
      <c r="M838" s="73"/>
      <c r="N838" s="73"/>
      <c r="O838" s="73"/>
      <c r="P838" s="73"/>
      <c r="Q838" s="73"/>
      <c r="R838" s="73"/>
      <c r="S838" s="73"/>
      <c r="T838" s="73"/>
      <c r="U838" s="74"/>
    </row>
    <row r="839" spans="2:21" s="15" customFormat="1" x14ac:dyDescent="0.25">
      <c r="B839" s="72" t="s">
        <v>3208</v>
      </c>
      <c r="C839" s="73"/>
      <c r="D839" s="73"/>
      <c r="E839" s="73"/>
      <c r="F839" s="73"/>
      <c r="G839" s="73"/>
      <c r="H839" s="73"/>
      <c r="I839" s="73"/>
      <c r="J839" s="73"/>
      <c r="K839" s="73"/>
      <c r="L839" s="73"/>
      <c r="M839" s="73"/>
      <c r="N839" s="73"/>
      <c r="O839" s="73"/>
      <c r="P839" s="73"/>
      <c r="Q839" s="73"/>
      <c r="R839" s="73"/>
      <c r="S839" s="73"/>
      <c r="T839" s="73"/>
      <c r="U839" s="74"/>
    </row>
    <row r="840" spans="2:21" s="15" customFormat="1" x14ac:dyDescent="0.25">
      <c r="B840" s="72" t="s">
        <v>3209</v>
      </c>
      <c r="C840" s="73"/>
      <c r="D840" s="73"/>
      <c r="E840" s="73"/>
      <c r="F840" s="73"/>
      <c r="G840" s="73"/>
      <c r="H840" s="73"/>
      <c r="I840" s="73"/>
      <c r="J840" s="73"/>
      <c r="K840" s="73"/>
      <c r="L840" s="73"/>
      <c r="M840" s="73"/>
      <c r="N840" s="73"/>
      <c r="O840" s="73"/>
      <c r="P840" s="73"/>
      <c r="Q840" s="73"/>
      <c r="R840" s="73"/>
      <c r="S840" s="73"/>
      <c r="T840" s="73"/>
      <c r="U840" s="74"/>
    </row>
    <row r="841" spans="2:21" s="15" customFormat="1" x14ac:dyDescent="0.25">
      <c r="B841" s="72" t="s">
        <v>3210</v>
      </c>
      <c r="C841" s="73"/>
      <c r="D841" s="73"/>
      <c r="E841" s="73"/>
      <c r="F841" s="73"/>
      <c r="G841" s="73"/>
      <c r="H841" s="73"/>
      <c r="I841" s="73"/>
      <c r="J841" s="73"/>
      <c r="K841" s="73"/>
      <c r="L841" s="73"/>
      <c r="M841" s="73"/>
      <c r="N841" s="73"/>
      <c r="O841" s="73"/>
      <c r="P841" s="73"/>
      <c r="Q841" s="73"/>
      <c r="R841" s="73"/>
      <c r="S841" s="73"/>
      <c r="T841" s="73"/>
      <c r="U841" s="74"/>
    </row>
    <row r="842" spans="2:21" s="15" customFormat="1" x14ac:dyDescent="0.25">
      <c r="B842" s="75" t="s">
        <v>3211</v>
      </c>
      <c r="C842" s="76"/>
      <c r="D842" s="76"/>
      <c r="E842" s="76"/>
      <c r="F842" s="76"/>
      <c r="G842" s="76"/>
      <c r="H842" s="76"/>
      <c r="I842" s="76"/>
      <c r="J842" s="76"/>
      <c r="K842" s="76"/>
      <c r="L842" s="76"/>
      <c r="M842" s="76"/>
      <c r="N842" s="76"/>
      <c r="O842" s="76"/>
      <c r="P842" s="76"/>
      <c r="Q842" s="76"/>
      <c r="R842" s="76"/>
      <c r="S842" s="76"/>
      <c r="T842" s="76"/>
      <c r="U842" s="77"/>
    </row>
  </sheetData>
  <mergeCells count="839">
    <mergeCell ref="B839:U839"/>
    <mergeCell ref="B840:U840"/>
    <mergeCell ref="B841:U841"/>
    <mergeCell ref="B842:U842"/>
    <mergeCell ref="B834:U834"/>
    <mergeCell ref="B835:U835"/>
    <mergeCell ref="B836:U836"/>
    <mergeCell ref="B837:U837"/>
    <mergeCell ref="B838:U838"/>
    <mergeCell ref="B829:U829"/>
    <mergeCell ref="B830:U830"/>
    <mergeCell ref="B831:U831"/>
    <mergeCell ref="B832:U832"/>
    <mergeCell ref="B833:U833"/>
    <mergeCell ref="B824:U824"/>
    <mergeCell ref="B825:U825"/>
    <mergeCell ref="B826:U826"/>
    <mergeCell ref="B827:U827"/>
    <mergeCell ref="B828:U828"/>
    <mergeCell ref="B819:U819"/>
    <mergeCell ref="B820:U820"/>
    <mergeCell ref="B821:U821"/>
    <mergeCell ref="B822:U822"/>
    <mergeCell ref="B823:U823"/>
    <mergeCell ref="B814:U814"/>
    <mergeCell ref="B815:U815"/>
    <mergeCell ref="B816:U816"/>
    <mergeCell ref="B817:U817"/>
    <mergeCell ref="B818:U818"/>
    <mergeCell ref="B809:U809"/>
    <mergeCell ref="B810:U810"/>
    <mergeCell ref="B811:U811"/>
    <mergeCell ref="B812:U812"/>
    <mergeCell ref="B813:U813"/>
    <mergeCell ref="B804:U804"/>
    <mergeCell ref="B805:U805"/>
    <mergeCell ref="B806:U806"/>
    <mergeCell ref="B807:U807"/>
    <mergeCell ref="B808:U808"/>
    <mergeCell ref="B799:U799"/>
    <mergeCell ref="B800:U800"/>
    <mergeCell ref="B801:U801"/>
    <mergeCell ref="B802:U802"/>
    <mergeCell ref="B803:U803"/>
    <mergeCell ref="B794:U794"/>
    <mergeCell ref="B795:U795"/>
    <mergeCell ref="B796:U796"/>
    <mergeCell ref="B797:U797"/>
    <mergeCell ref="B798:U798"/>
    <mergeCell ref="B789:U789"/>
    <mergeCell ref="B790:U790"/>
    <mergeCell ref="B791:U791"/>
    <mergeCell ref="B792:U792"/>
    <mergeCell ref="B793:U793"/>
    <mergeCell ref="B784:U784"/>
    <mergeCell ref="B785:U785"/>
    <mergeCell ref="B786:U786"/>
    <mergeCell ref="B787:U787"/>
    <mergeCell ref="B788:U788"/>
    <mergeCell ref="B779:U779"/>
    <mergeCell ref="B780:U780"/>
    <mergeCell ref="B781:U781"/>
    <mergeCell ref="B782:U782"/>
    <mergeCell ref="B783:U783"/>
    <mergeCell ref="B774:U774"/>
    <mergeCell ref="B775:U775"/>
    <mergeCell ref="B776:U776"/>
    <mergeCell ref="B777:U777"/>
    <mergeCell ref="B778:U778"/>
    <mergeCell ref="B769:U769"/>
    <mergeCell ref="B770:U770"/>
    <mergeCell ref="B771:U771"/>
    <mergeCell ref="B772:U772"/>
    <mergeCell ref="B773:U773"/>
    <mergeCell ref="B764:U764"/>
    <mergeCell ref="B765:U765"/>
    <mergeCell ref="B766:U766"/>
    <mergeCell ref="B767:U767"/>
    <mergeCell ref="B768:U768"/>
    <mergeCell ref="B759:U759"/>
    <mergeCell ref="B760:U760"/>
    <mergeCell ref="B761:U761"/>
    <mergeCell ref="B762:U762"/>
    <mergeCell ref="B763:U763"/>
    <mergeCell ref="B754:U754"/>
    <mergeCell ref="B755:U755"/>
    <mergeCell ref="B756:U756"/>
    <mergeCell ref="B757:U757"/>
    <mergeCell ref="B758:U758"/>
    <mergeCell ref="B749:U749"/>
    <mergeCell ref="B750:U750"/>
    <mergeCell ref="B751:U751"/>
    <mergeCell ref="B752:U752"/>
    <mergeCell ref="B753:U753"/>
    <mergeCell ref="B744:U744"/>
    <mergeCell ref="B745:U745"/>
    <mergeCell ref="B746:U746"/>
    <mergeCell ref="B747:U747"/>
    <mergeCell ref="B748:U748"/>
    <mergeCell ref="B739:U739"/>
    <mergeCell ref="B740:U740"/>
    <mergeCell ref="B741:U741"/>
    <mergeCell ref="B742:U742"/>
    <mergeCell ref="B743:U743"/>
    <mergeCell ref="B734:U734"/>
    <mergeCell ref="B735:U735"/>
    <mergeCell ref="B736:U736"/>
    <mergeCell ref="B737:U737"/>
    <mergeCell ref="B738:U738"/>
    <mergeCell ref="B729:U729"/>
    <mergeCell ref="B730:U730"/>
    <mergeCell ref="B731:U731"/>
    <mergeCell ref="B732:U732"/>
    <mergeCell ref="B733:U733"/>
    <mergeCell ref="B724:U724"/>
    <mergeCell ref="B725:U725"/>
    <mergeCell ref="B726:U726"/>
    <mergeCell ref="B727:U727"/>
    <mergeCell ref="B728:U728"/>
    <mergeCell ref="B719:U719"/>
    <mergeCell ref="B720:U720"/>
    <mergeCell ref="B721:U721"/>
    <mergeCell ref="B722:U722"/>
    <mergeCell ref="B723:U723"/>
    <mergeCell ref="B714:U714"/>
    <mergeCell ref="B715:U715"/>
    <mergeCell ref="B716:U716"/>
    <mergeCell ref="B717:U717"/>
    <mergeCell ref="B718:U718"/>
    <mergeCell ref="B709:U709"/>
    <mergeCell ref="B710:U710"/>
    <mergeCell ref="B711:U711"/>
    <mergeCell ref="B712:U712"/>
    <mergeCell ref="B713:U713"/>
    <mergeCell ref="B704:U704"/>
    <mergeCell ref="B705:U705"/>
    <mergeCell ref="B706:U706"/>
    <mergeCell ref="B707:U707"/>
    <mergeCell ref="B708:U708"/>
    <mergeCell ref="B699:U699"/>
    <mergeCell ref="B700:U700"/>
    <mergeCell ref="B701:U701"/>
    <mergeCell ref="B702:U702"/>
    <mergeCell ref="B703:U703"/>
    <mergeCell ref="B694:U694"/>
    <mergeCell ref="B695:U695"/>
    <mergeCell ref="B696:U696"/>
    <mergeCell ref="B697:U697"/>
    <mergeCell ref="B698:U698"/>
    <mergeCell ref="B689:U689"/>
    <mergeCell ref="B690:U690"/>
    <mergeCell ref="B691:U691"/>
    <mergeCell ref="B692:U692"/>
    <mergeCell ref="B693:U693"/>
    <mergeCell ref="B684:U684"/>
    <mergeCell ref="B685:U685"/>
    <mergeCell ref="B686:U686"/>
    <mergeCell ref="B687:U687"/>
    <mergeCell ref="B688:U688"/>
    <mergeCell ref="B679:U679"/>
    <mergeCell ref="B680:U680"/>
    <mergeCell ref="B681:U681"/>
    <mergeCell ref="B682:U682"/>
    <mergeCell ref="B683:U683"/>
    <mergeCell ref="B674:U674"/>
    <mergeCell ref="B675:U675"/>
    <mergeCell ref="B676:U676"/>
    <mergeCell ref="B677:U677"/>
    <mergeCell ref="B678:U678"/>
    <mergeCell ref="B669:U669"/>
    <mergeCell ref="B670:U670"/>
    <mergeCell ref="B671:U671"/>
    <mergeCell ref="B672:U672"/>
    <mergeCell ref="B673:U673"/>
    <mergeCell ref="B664:U664"/>
    <mergeCell ref="B665:U665"/>
    <mergeCell ref="B666:U666"/>
    <mergeCell ref="B667:U667"/>
    <mergeCell ref="B668:U668"/>
    <mergeCell ref="B659:U659"/>
    <mergeCell ref="B660:U660"/>
    <mergeCell ref="B661:U661"/>
    <mergeCell ref="B662:U662"/>
    <mergeCell ref="B663:U663"/>
    <mergeCell ref="B654:U654"/>
    <mergeCell ref="B655:U655"/>
    <mergeCell ref="B656:U656"/>
    <mergeCell ref="B657:U657"/>
    <mergeCell ref="B658:U658"/>
    <mergeCell ref="B649:U649"/>
    <mergeCell ref="B650:U650"/>
    <mergeCell ref="B651:U651"/>
    <mergeCell ref="B652:U652"/>
    <mergeCell ref="B653:U653"/>
    <mergeCell ref="B644:U644"/>
    <mergeCell ref="B645:U645"/>
    <mergeCell ref="B646:U646"/>
    <mergeCell ref="B647:U647"/>
    <mergeCell ref="B648:U648"/>
    <mergeCell ref="B639:U639"/>
    <mergeCell ref="B640:U640"/>
    <mergeCell ref="B641:U641"/>
    <mergeCell ref="B642:U642"/>
    <mergeCell ref="B643:U643"/>
    <mergeCell ref="B634:U634"/>
    <mergeCell ref="B635:U635"/>
    <mergeCell ref="B636:U636"/>
    <mergeCell ref="B637:U637"/>
    <mergeCell ref="B638:U638"/>
    <mergeCell ref="B629:U629"/>
    <mergeCell ref="B630:U630"/>
    <mergeCell ref="B631:U631"/>
    <mergeCell ref="B632:U632"/>
    <mergeCell ref="B633:U633"/>
    <mergeCell ref="B624:U624"/>
    <mergeCell ref="B625:U625"/>
    <mergeCell ref="B626:U626"/>
    <mergeCell ref="B627:U627"/>
    <mergeCell ref="B628:U628"/>
    <mergeCell ref="B619:U619"/>
    <mergeCell ref="B620:U620"/>
    <mergeCell ref="B621:U621"/>
    <mergeCell ref="B622:U622"/>
    <mergeCell ref="B623:U623"/>
    <mergeCell ref="B614:U614"/>
    <mergeCell ref="B615:U615"/>
    <mergeCell ref="B616:U616"/>
    <mergeCell ref="B617:U617"/>
    <mergeCell ref="B618:U618"/>
    <mergeCell ref="B609:U609"/>
    <mergeCell ref="B610:U610"/>
    <mergeCell ref="B611:U611"/>
    <mergeCell ref="B612:U612"/>
    <mergeCell ref="B613:U613"/>
    <mergeCell ref="B604:U604"/>
    <mergeCell ref="B605:U605"/>
    <mergeCell ref="B606:U606"/>
    <mergeCell ref="B607:U607"/>
    <mergeCell ref="B608:U608"/>
    <mergeCell ref="B599:U599"/>
    <mergeCell ref="B600:U600"/>
    <mergeCell ref="B601:U601"/>
    <mergeCell ref="B602:U602"/>
    <mergeCell ref="B603:U603"/>
    <mergeCell ref="B594:U594"/>
    <mergeCell ref="B595:U595"/>
    <mergeCell ref="B596:U596"/>
    <mergeCell ref="B597:U597"/>
    <mergeCell ref="B598:U598"/>
    <mergeCell ref="B589:U589"/>
    <mergeCell ref="B590:U590"/>
    <mergeCell ref="B591:U591"/>
    <mergeCell ref="B592:U592"/>
    <mergeCell ref="B593:U593"/>
    <mergeCell ref="B584:U584"/>
    <mergeCell ref="B585:U585"/>
    <mergeCell ref="B586:U586"/>
    <mergeCell ref="B587:U587"/>
    <mergeCell ref="B588:U588"/>
    <mergeCell ref="B579:U579"/>
    <mergeCell ref="B580:U580"/>
    <mergeCell ref="B581:U581"/>
    <mergeCell ref="B582:U582"/>
    <mergeCell ref="B583:U583"/>
    <mergeCell ref="B574:U574"/>
    <mergeCell ref="B575:U575"/>
    <mergeCell ref="B576:U576"/>
    <mergeCell ref="B577:U577"/>
    <mergeCell ref="B578:U578"/>
    <mergeCell ref="B569:U569"/>
    <mergeCell ref="B570:U570"/>
    <mergeCell ref="B571:U571"/>
    <mergeCell ref="B572:U572"/>
    <mergeCell ref="B573:U573"/>
    <mergeCell ref="B564:U564"/>
    <mergeCell ref="B565:U565"/>
    <mergeCell ref="B566:U566"/>
    <mergeCell ref="B567:U567"/>
    <mergeCell ref="B568:U568"/>
    <mergeCell ref="B559:U559"/>
    <mergeCell ref="B560:U560"/>
    <mergeCell ref="B561:U561"/>
    <mergeCell ref="B562:U562"/>
    <mergeCell ref="B563:U563"/>
    <mergeCell ref="B554:U554"/>
    <mergeCell ref="B555:U555"/>
    <mergeCell ref="B556:U556"/>
    <mergeCell ref="B557:U557"/>
    <mergeCell ref="B558:U558"/>
    <mergeCell ref="B549:U549"/>
    <mergeCell ref="B550:U550"/>
    <mergeCell ref="B551:U551"/>
    <mergeCell ref="B552:U552"/>
    <mergeCell ref="B553:U553"/>
    <mergeCell ref="B544:U544"/>
    <mergeCell ref="B545:U545"/>
    <mergeCell ref="B546:U546"/>
    <mergeCell ref="B547:U547"/>
    <mergeCell ref="B548:U548"/>
    <mergeCell ref="B539:U539"/>
    <mergeCell ref="B540:U540"/>
    <mergeCell ref="B541:U541"/>
    <mergeCell ref="B542:U542"/>
    <mergeCell ref="B543:U543"/>
    <mergeCell ref="B534:U534"/>
    <mergeCell ref="B535:U535"/>
    <mergeCell ref="B536:U536"/>
    <mergeCell ref="B537:U537"/>
    <mergeCell ref="B538:U538"/>
    <mergeCell ref="B529:U529"/>
    <mergeCell ref="B530:U530"/>
    <mergeCell ref="B531:U531"/>
    <mergeCell ref="B532:U532"/>
    <mergeCell ref="B533:U533"/>
    <mergeCell ref="B524:U524"/>
    <mergeCell ref="B525:U525"/>
    <mergeCell ref="B526:U526"/>
    <mergeCell ref="B527:U527"/>
    <mergeCell ref="B528:U528"/>
    <mergeCell ref="B519:U519"/>
    <mergeCell ref="B520:U520"/>
    <mergeCell ref="B521:U521"/>
    <mergeCell ref="B522:U522"/>
    <mergeCell ref="B523:U523"/>
    <mergeCell ref="B514:U514"/>
    <mergeCell ref="B515:U515"/>
    <mergeCell ref="B516:U516"/>
    <mergeCell ref="B517:U517"/>
    <mergeCell ref="B518:U518"/>
    <mergeCell ref="B509:U509"/>
    <mergeCell ref="B510:U510"/>
    <mergeCell ref="B511:U511"/>
    <mergeCell ref="B512:U512"/>
    <mergeCell ref="B513:U513"/>
    <mergeCell ref="B504:U504"/>
    <mergeCell ref="B505:U505"/>
    <mergeCell ref="B506:U506"/>
    <mergeCell ref="B507:U507"/>
    <mergeCell ref="B508:U508"/>
    <mergeCell ref="B499:U499"/>
    <mergeCell ref="B500:U500"/>
    <mergeCell ref="B501:U501"/>
    <mergeCell ref="B502:U502"/>
    <mergeCell ref="B503:U503"/>
    <mergeCell ref="B494:U494"/>
    <mergeCell ref="B495:U495"/>
    <mergeCell ref="B496:U496"/>
    <mergeCell ref="B497:U497"/>
    <mergeCell ref="B498:U498"/>
    <mergeCell ref="B489:U489"/>
    <mergeCell ref="B490:U490"/>
    <mergeCell ref="B491:U491"/>
    <mergeCell ref="B492:U492"/>
    <mergeCell ref="B493:U493"/>
    <mergeCell ref="B484:U484"/>
    <mergeCell ref="B485:U485"/>
    <mergeCell ref="B486:U486"/>
    <mergeCell ref="B487:U487"/>
    <mergeCell ref="B488:U488"/>
    <mergeCell ref="B479:U479"/>
    <mergeCell ref="B480:U480"/>
    <mergeCell ref="B481:U481"/>
    <mergeCell ref="B482:U482"/>
    <mergeCell ref="B483:U483"/>
    <mergeCell ref="B474:U474"/>
    <mergeCell ref="B475:U475"/>
    <mergeCell ref="B476:U476"/>
    <mergeCell ref="B477:U477"/>
    <mergeCell ref="B478:U478"/>
    <mergeCell ref="B469:U469"/>
    <mergeCell ref="B470:U470"/>
    <mergeCell ref="B471:U471"/>
    <mergeCell ref="B472:U472"/>
    <mergeCell ref="B473:U473"/>
    <mergeCell ref="B464:U464"/>
    <mergeCell ref="B465:U465"/>
    <mergeCell ref="B466:U466"/>
    <mergeCell ref="B467:U467"/>
    <mergeCell ref="B468:U468"/>
    <mergeCell ref="B459:U459"/>
    <mergeCell ref="B460:U460"/>
    <mergeCell ref="B461:U461"/>
    <mergeCell ref="B462:U462"/>
    <mergeCell ref="B463:U463"/>
    <mergeCell ref="B454:U454"/>
    <mergeCell ref="B455:U455"/>
    <mergeCell ref="B456:U456"/>
    <mergeCell ref="B457:U457"/>
    <mergeCell ref="B458:U458"/>
    <mergeCell ref="B449:U449"/>
    <mergeCell ref="B450:U450"/>
    <mergeCell ref="B451:U451"/>
    <mergeCell ref="B452:U452"/>
    <mergeCell ref="B453:U453"/>
    <mergeCell ref="B444:U444"/>
    <mergeCell ref="B445:U445"/>
    <mergeCell ref="B446:U446"/>
    <mergeCell ref="B447:U447"/>
    <mergeCell ref="B448:U448"/>
    <mergeCell ref="B439:U439"/>
    <mergeCell ref="B440:U440"/>
    <mergeCell ref="B441:U441"/>
    <mergeCell ref="B442:U442"/>
    <mergeCell ref="B443:U443"/>
    <mergeCell ref="B434:U434"/>
    <mergeCell ref="B435:U435"/>
    <mergeCell ref="B436:U436"/>
    <mergeCell ref="B437:U437"/>
    <mergeCell ref="B438:U438"/>
    <mergeCell ref="B429:U429"/>
    <mergeCell ref="B430:U430"/>
    <mergeCell ref="B431:U431"/>
    <mergeCell ref="B432:U432"/>
    <mergeCell ref="B433:U433"/>
    <mergeCell ref="B424:U424"/>
    <mergeCell ref="B425:U425"/>
    <mergeCell ref="B426:U426"/>
    <mergeCell ref="B427:U427"/>
    <mergeCell ref="B428:U428"/>
    <mergeCell ref="B419:U419"/>
    <mergeCell ref="B420:U420"/>
    <mergeCell ref="B421:U421"/>
    <mergeCell ref="B422:U422"/>
    <mergeCell ref="B423:U423"/>
    <mergeCell ref="B414:U414"/>
    <mergeCell ref="B415:U415"/>
    <mergeCell ref="B416:U416"/>
    <mergeCell ref="B417:U417"/>
    <mergeCell ref="B418:U418"/>
    <mergeCell ref="B409:U409"/>
    <mergeCell ref="B410:U410"/>
    <mergeCell ref="B411:U411"/>
    <mergeCell ref="B412:U412"/>
    <mergeCell ref="B413:U413"/>
    <mergeCell ref="B404:U404"/>
    <mergeCell ref="B405:U405"/>
    <mergeCell ref="B406:U406"/>
    <mergeCell ref="B407:U407"/>
    <mergeCell ref="B408:U408"/>
    <mergeCell ref="B399:U399"/>
    <mergeCell ref="B400:U400"/>
    <mergeCell ref="B401:U401"/>
    <mergeCell ref="B402:U402"/>
    <mergeCell ref="B403:U403"/>
    <mergeCell ref="B394:U394"/>
    <mergeCell ref="B395:U395"/>
    <mergeCell ref="B396:U396"/>
    <mergeCell ref="B397:U397"/>
    <mergeCell ref="B398:U398"/>
    <mergeCell ref="B389:U389"/>
    <mergeCell ref="B390:U390"/>
    <mergeCell ref="B391:U391"/>
    <mergeCell ref="B392:U392"/>
    <mergeCell ref="B393:U393"/>
    <mergeCell ref="B384:U384"/>
    <mergeCell ref="B385:U385"/>
    <mergeCell ref="B386:U386"/>
    <mergeCell ref="B387:U387"/>
    <mergeCell ref="B388:U388"/>
    <mergeCell ref="B379:U379"/>
    <mergeCell ref="B380:U380"/>
    <mergeCell ref="B381:U381"/>
    <mergeCell ref="B382:U382"/>
    <mergeCell ref="B383:U383"/>
    <mergeCell ref="B374:U374"/>
    <mergeCell ref="B375:U375"/>
    <mergeCell ref="B376:U376"/>
    <mergeCell ref="B377:U377"/>
    <mergeCell ref="B378:U378"/>
    <mergeCell ref="B369:U369"/>
    <mergeCell ref="B370:U370"/>
    <mergeCell ref="B371:U371"/>
    <mergeCell ref="B372:U372"/>
    <mergeCell ref="B373:U373"/>
    <mergeCell ref="B364:U364"/>
    <mergeCell ref="B365:U365"/>
    <mergeCell ref="B366:U366"/>
    <mergeCell ref="B367:U367"/>
    <mergeCell ref="B368:U368"/>
    <mergeCell ref="B359:U359"/>
    <mergeCell ref="B360:U360"/>
    <mergeCell ref="B361:U361"/>
    <mergeCell ref="B362:U362"/>
    <mergeCell ref="B363:U363"/>
    <mergeCell ref="B354:U354"/>
    <mergeCell ref="B355:U355"/>
    <mergeCell ref="B356:U356"/>
    <mergeCell ref="B357:U357"/>
    <mergeCell ref="B358:U358"/>
    <mergeCell ref="B349:U349"/>
    <mergeCell ref="B350:U350"/>
    <mergeCell ref="B351:U351"/>
    <mergeCell ref="B352:U352"/>
    <mergeCell ref="B353:U353"/>
    <mergeCell ref="B344:U344"/>
    <mergeCell ref="B345:U345"/>
    <mergeCell ref="B346:U346"/>
    <mergeCell ref="B347:U347"/>
    <mergeCell ref="B348:U348"/>
    <mergeCell ref="B339:U339"/>
    <mergeCell ref="B340:U340"/>
    <mergeCell ref="B341:U341"/>
    <mergeCell ref="B342:U342"/>
    <mergeCell ref="B343:U343"/>
    <mergeCell ref="B334:U334"/>
    <mergeCell ref="B335:U335"/>
    <mergeCell ref="B336:U336"/>
    <mergeCell ref="B337:U337"/>
    <mergeCell ref="B338:U338"/>
    <mergeCell ref="B329:U329"/>
    <mergeCell ref="B330:U330"/>
    <mergeCell ref="B331:U331"/>
    <mergeCell ref="B332:U332"/>
    <mergeCell ref="B333:U333"/>
    <mergeCell ref="B324:U324"/>
    <mergeCell ref="B325:U325"/>
    <mergeCell ref="B326:U326"/>
    <mergeCell ref="B327:U327"/>
    <mergeCell ref="B328:U328"/>
    <mergeCell ref="B319:U319"/>
    <mergeCell ref="B320:U320"/>
    <mergeCell ref="B321:U321"/>
    <mergeCell ref="B322:U322"/>
    <mergeCell ref="B323:U323"/>
    <mergeCell ref="B314:U314"/>
    <mergeCell ref="B315:U315"/>
    <mergeCell ref="B316:U316"/>
    <mergeCell ref="B317:U317"/>
    <mergeCell ref="B318:U318"/>
    <mergeCell ref="B309:U309"/>
    <mergeCell ref="B310:U310"/>
    <mergeCell ref="B311:U311"/>
    <mergeCell ref="B312:U312"/>
    <mergeCell ref="B313:U313"/>
    <mergeCell ref="B304:U304"/>
    <mergeCell ref="B305:U305"/>
    <mergeCell ref="B306:U306"/>
    <mergeCell ref="B307:U307"/>
    <mergeCell ref="B308:U308"/>
    <mergeCell ref="B299:U299"/>
    <mergeCell ref="B300:U300"/>
    <mergeCell ref="B301:U301"/>
    <mergeCell ref="B302:U302"/>
    <mergeCell ref="B303:U303"/>
    <mergeCell ref="B294:U294"/>
    <mergeCell ref="B295:U295"/>
    <mergeCell ref="B296:U296"/>
    <mergeCell ref="B297:U297"/>
    <mergeCell ref="B298:U298"/>
    <mergeCell ref="B289:U289"/>
    <mergeCell ref="B290:U290"/>
    <mergeCell ref="B291:U291"/>
    <mergeCell ref="B292:U292"/>
    <mergeCell ref="B293:U293"/>
    <mergeCell ref="B284:U284"/>
    <mergeCell ref="B285:U285"/>
    <mergeCell ref="B286:U286"/>
    <mergeCell ref="B287:U287"/>
    <mergeCell ref="B288:U288"/>
    <mergeCell ref="B279:U279"/>
    <mergeCell ref="B280:U280"/>
    <mergeCell ref="B281:U281"/>
    <mergeCell ref="B282:U282"/>
    <mergeCell ref="B283:U283"/>
    <mergeCell ref="B274:U274"/>
    <mergeCell ref="B275:U275"/>
    <mergeCell ref="B276:U276"/>
    <mergeCell ref="B277:U277"/>
    <mergeCell ref="B278:U278"/>
    <mergeCell ref="B269:U269"/>
    <mergeCell ref="B270:U270"/>
    <mergeCell ref="B271:U271"/>
    <mergeCell ref="B272:U272"/>
    <mergeCell ref="B273:U273"/>
    <mergeCell ref="B264:U264"/>
    <mergeCell ref="B265:U265"/>
    <mergeCell ref="B266:U266"/>
    <mergeCell ref="B267:U267"/>
    <mergeCell ref="B268:U268"/>
    <mergeCell ref="B259:U259"/>
    <mergeCell ref="B260:U260"/>
    <mergeCell ref="B261:U261"/>
    <mergeCell ref="B262:U262"/>
    <mergeCell ref="B263:U263"/>
    <mergeCell ref="B254:U254"/>
    <mergeCell ref="B255:U255"/>
    <mergeCell ref="B256:U256"/>
    <mergeCell ref="B257:U257"/>
    <mergeCell ref="B258:U258"/>
    <mergeCell ref="B249:U249"/>
    <mergeCell ref="B250:U250"/>
    <mergeCell ref="B251:U251"/>
    <mergeCell ref="B252:U252"/>
    <mergeCell ref="B253:U253"/>
    <mergeCell ref="B244:U244"/>
    <mergeCell ref="B245:U245"/>
    <mergeCell ref="B246:U246"/>
    <mergeCell ref="B247:U247"/>
    <mergeCell ref="B248:U248"/>
    <mergeCell ref="B239:U239"/>
    <mergeCell ref="B240:U240"/>
    <mergeCell ref="B241:U241"/>
    <mergeCell ref="B242:U242"/>
    <mergeCell ref="B243:U243"/>
    <mergeCell ref="B234:U234"/>
    <mergeCell ref="B235:U235"/>
    <mergeCell ref="B236:U236"/>
    <mergeCell ref="B237:U237"/>
    <mergeCell ref="B238:U238"/>
    <mergeCell ref="B229:U229"/>
    <mergeCell ref="B230:U230"/>
    <mergeCell ref="B231:U231"/>
    <mergeCell ref="B232:U232"/>
    <mergeCell ref="B233:U233"/>
    <mergeCell ref="B224:U224"/>
    <mergeCell ref="B225:U225"/>
    <mergeCell ref="B226:U226"/>
    <mergeCell ref="B227:U227"/>
    <mergeCell ref="B228:U228"/>
    <mergeCell ref="B219:U219"/>
    <mergeCell ref="B220:U220"/>
    <mergeCell ref="B221:U221"/>
    <mergeCell ref="B222:U222"/>
    <mergeCell ref="B223:U223"/>
    <mergeCell ref="B214:U214"/>
    <mergeCell ref="B215:U215"/>
    <mergeCell ref="B216:U216"/>
    <mergeCell ref="B217:U217"/>
    <mergeCell ref="B218:U218"/>
    <mergeCell ref="B209:U209"/>
    <mergeCell ref="B210:U210"/>
    <mergeCell ref="B211:U211"/>
    <mergeCell ref="B212:U212"/>
    <mergeCell ref="B213:U213"/>
    <mergeCell ref="B204:U204"/>
    <mergeCell ref="B205:U205"/>
    <mergeCell ref="B206:U206"/>
    <mergeCell ref="B207:U207"/>
    <mergeCell ref="B208:U208"/>
    <mergeCell ref="B199:U199"/>
    <mergeCell ref="B200:U200"/>
    <mergeCell ref="B201:U201"/>
    <mergeCell ref="B202:U202"/>
    <mergeCell ref="B203:U203"/>
    <mergeCell ref="B194:U194"/>
    <mergeCell ref="B195:U195"/>
    <mergeCell ref="B196:U196"/>
    <mergeCell ref="B197:U197"/>
    <mergeCell ref="B198:U198"/>
    <mergeCell ref="B189:U189"/>
    <mergeCell ref="B190:U190"/>
    <mergeCell ref="B191:U191"/>
    <mergeCell ref="B192:U192"/>
    <mergeCell ref="B193:U193"/>
    <mergeCell ref="B184:U184"/>
    <mergeCell ref="B185:U185"/>
    <mergeCell ref="B186:U186"/>
    <mergeCell ref="B187:U187"/>
    <mergeCell ref="B188:U188"/>
    <mergeCell ref="B179:U179"/>
    <mergeCell ref="B180:U180"/>
    <mergeCell ref="B181:U181"/>
    <mergeCell ref="B182:U182"/>
    <mergeCell ref="B183:U183"/>
    <mergeCell ref="B174:U174"/>
    <mergeCell ref="B175:U175"/>
    <mergeCell ref="B176:U176"/>
    <mergeCell ref="B177:U177"/>
    <mergeCell ref="B178:U178"/>
    <mergeCell ref="B169:U169"/>
    <mergeCell ref="B170:U170"/>
    <mergeCell ref="B171:U171"/>
    <mergeCell ref="B172:U172"/>
    <mergeCell ref="B173:U173"/>
    <mergeCell ref="B164:U164"/>
    <mergeCell ref="B165:U165"/>
    <mergeCell ref="B166:U166"/>
    <mergeCell ref="B167:U167"/>
    <mergeCell ref="B168:U168"/>
    <mergeCell ref="B159:U159"/>
    <mergeCell ref="B160:U160"/>
    <mergeCell ref="B161:U161"/>
    <mergeCell ref="B162:U162"/>
    <mergeCell ref="B163:U163"/>
    <mergeCell ref="B154:U154"/>
    <mergeCell ref="B155:U155"/>
    <mergeCell ref="B156:U156"/>
    <mergeCell ref="B157:U157"/>
    <mergeCell ref="B158:U158"/>
    <mergeCell ref="B149:U149"/>
    <mergeCell ref="B150:U150"/>
    <mergeCell ref="B151:U151"/>
    <mergeCell ref="B152:U152"/>
    <mergeCell ref="B153:U153"/>
    <mergeCell ref="B144:U144"/>
    <mergeCell ref="B145:U145"/>
    <mergeCell ref="B146:U146"/>
    <mergeCell ref="B147:U147"/>
    <mergeCell ref="B148:U148"/>
    <mergeCell ref="B139:U139"/>
    <mergeCell ref="B140:U140"/>
    <mergeCell ref="B141:U141"/>
    <mergeCell ref="B142:U142"/>
    <mergeCell ref="B143:U143"/>
    <mergeCell ref="B134:U134"/>
    <mergeCell ref="B135:U135"/>
    <mergeCell ref="B136:U136"/>
    <mergeCell ref="B137:U137"/>
    <mergeCell ref="B138:U138"/>
    <mergeCell ref="B129:U129"/>
    <mergeCell ref="B130:U130"/>
    <mergeCell ref="B131:U131"/>
    <mergeCell ref="B132:U132"/>
    <mergeCell ref="B133:U133"/>
    <mergeCell ref="B124:U124"/>
    <mergeCell ref="B125:U125"/>
    <mergeCell ref="B126:U126"/>
    <mergeCell ref="B127:U127"/>
    <mergeCell ref="B128:U128"/>
    <mergeCell ref="B119:U119"/>
    <mergeCell ref="B120:U120"/>
    <mergeCell ref="B121:U121"/>
    <mergeCell ref="B122:U122"/>
    <mergeCell ref="B123:U123"/>
    <mergeCell ref="B114:U114"/>
    <mergeCell ref="B115:U115"/>
    <mergeCell ref="B116:U116"/>
    <mergeCell ref="B117:U117"/>
    <mergeCell ref="B118:U118"/>
    <mergeCell ref="B109:U109"/>
    <mergeCell ref="B110:U110"/>
    <mergeCell ref="B111:U111"/>
    <mergeCell ref="B112:U112"/>
    <mergeCell ref="B113:U113"/>
    <mergeCell ref="B104:U104"/>
    <mergeCell ref="B105:U105"/>
    <mergeCell ref="B106:U106"/>
    <mergeCell ref="B107:U107"/>
    <mergeCell ref="B108:U108"/>
    <mergeCell ref="B99:U99"/>
    <mergeCell ref="B100:U100"/>
    <mergeCell ref="B101:U101"/>
    <mergeCell ref="B102:U102"/>
    <mergeCell ref="B103:U103"/>
    <mergeCell ref="B94:U94"/>
    <mergeCell ref="B95:U95"/>
    <mergeCell ref="B96:U96"/>
    <mergeCell ref="B97:U97"/>
    <mergeCell ref="B98:U98"/>
    <mergeCell ref="B89:U89"/>
    <mergeCell ref="B90:U90"/>
    <mergeCell ref="B91:U91"/>
    <mergeCell ref="B92:U92"/>
    <mergeCell ref="B93:U93"/>
    <mergeCell ref="B84:U84"/>
    <mergeCell ref="B85:U85"/>
    <mergeCell ref="B86:U86"/>
    <mergeCell ref="B87:U87"/>
    <mergeCell ref="B88:U88"/>
    <mergeCell ref="B79:U79"/>
    <mergeCell ref="B80:U80"/>
    <mergeCell ref="B81:U81"/>
    <mergeCell ref="B82:U82"/>
    <mergeCell ref="B83:U83"/>
    <mergeCell ref="B74:U74"/>
    <mergeCell ref="B75:U75"/>
    <mergeCell ref="B76:U76"/>
    <mergeCell ref="B77:U77"/>
    <mergeCell ref="B78:U78"/>
    <mergeCell ref="B69:U69"/>
    <mergeCell ref="B70:U70"/>
    <mergeCell ref="B71:U71"/>
    <mergeCell ref="B72:U72"/>
    <mergeCell ref="B73:U73"/>
    <mergeCell ref="B64:U64"/>
    <mergeCell ref="B65:U65"/>
    <mergeCell ref="B66:U66"/>
    <mergeCell ref="B67:U67"/>
    <mergeCell ref="B68:U68"/>
    <mergeCell ref="B59:U59"/>
    <mergeCell ref="B60:U60"/>
    <mergeCell ref="B61:U61"/>
    <mergeCell ref="B62:U62"/>
    <mergeCell ref="B63:U63"/>
    <mergeCell ref="B54:U54"/>
    <mergeCell ref="B55:U55"/>
    <mergeCell ref="B56:U56"/>
    <mergeCell ref="B57:U57"/>
    <mergeCell ref="B58:U58"/>
    <mergeCell ref="B49:U49"/>
    <mergeCell ref="B50:U50"/>
    <mergeCell ref="B51:U51"/>
    <mergeCell ref="B52:U52"/>
    <mergeCell ref="B53:U53"/>
    <mergeCell ref="B44:U44"/>
    <mergeCell ref="B45:U45"/>
    <mergeCell ref="B46:U46"/>
    <mergeCell ref="B47:U47"/>
    <mergeCell ref="B48:U48"/>
    <mergeCell ref="B39:U39"/>
    <mergeCell ref="B40:U40"/>
    <mergeCell ref="B41:U41"/>
    <mergeCell ref="B42:U42"/>
    <mergeCell ref="B43:U43"/>
    <mergeCell ref="B34:U34"/>
    <mergeCell ref="B35:U35"/>
    <mergeCell ref="B36:U36"/>
    <mergeCell ref="B37:U37"/>
    <mergeCell ref="B38:U38"/>
    <mergeCell ref="B29:U29"/>
    <mergeCell ref="B30:U30"/>
    <mergeCell ref="B31:U31"/>
    <mergeCell ref="B32:U32"/>
    <mergeCell ref="B33:U33"/>
    <mergeCell ref="B24:U24"/>
    <mergeCell ref="B25:U25"/>
    <mergeCell ref="B26:U26"/>
    <mergeCell ref="B27:U27"/>
    <mergeCell ref="B28:U28"/>
    <mergeCell ref="B19:U19"/>
    <mergeCell ref="B20:U20"/>
    <mergeCell ref="B21:U21"/>
    <mergeCell ref="B22:U22"/>
    <mergeCell ref="B23:U23"/>
    <mergeCell ref="B14:U14"/>
    <mergeCell ref="B15:U15"/>
    <mergeCell ref="B16:U16"/>
    <mergeCell ref="B17:U17"/>
    <mergeCell ref="B18:U18"/>
    <mergeCell ref="B9:U9"/>
    <mergeCell ref="B10:U10"/>
    <mergeCell ref="B11:U11"/>
    <mergeCell ref="B12:U12"/>
    <mergeCell ref="B13:U13"/>
    <mergeCell ref="A1:AD1"/>
    <mergeCell ref="B5:U5"/>
    <mergeCell ref="B6:U6"/>
    <mergeCell ref="B7:U7"/>
    <mergeCell ref="B8:U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72"/>
  <sheetViews>
    <sheetView workbookViewId="0"/>
  </sheetViews>
  <sheetFormatPr defaultRowHeight="15" x14ac:dyDescent="0.25"/>
  <cols>
    <col min="1" max="21" width="9.140625" customWidth="1"/>
  </cols>
  <sheetData>
    <row r="1" spans="1:30" s="1" customFormat="1" ht="19.5" x14ac:dyDescent="0.3">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5" spans="1:30" s="15" customFormat="1" x14ac:dyDescent="0.25">
      <c r="B5" s="69" t="s">
        <v>3040</v>
      </c>
      <c r="C5" s="70"/>
      <c r="D5" s="70"/>
      <c r="E5" s="70"/>
      <c r="F5" s="70"/>
      <c r="G5" s="70"/>
      <c r="H5" s="70"/>
      <c r="I5" s="70"/>
      <c r="J5" s="70"/>
      <c r="K5" s="70"/>
      <c r="L5" s="70"/>
      <c r="M5" s="70"/>
      <c r="N5" s="70"/>
      <c r="O5" s="70"/>
      <c r="P5" s="70"/>
      <c r="Q5" s="70"/>
      <c r="R5" s="70"/>
      <c r="S5" s="70"/>
      <c r="T5" s="70"/>
      <c r="U5" s="71"/>
    </row>
    <row r="6" spans="1:30" s="15" customFormat="1" x14ac:dyDescent="0.25">
      <c r="B6" s="72" t="s">
        <v>3041</v>
      </c>
      <c r="C6" s="73"/>
      <c r="D6" s="73"/>
      <c r="E6" s="73"/>
      <c r="F6" s="73"/>
      <c r="G6" s="73"/>
      <c r="H6" s="73"/>
      <c r="I6" s="73"/>
      <c r="J6" s="73"/>
      <c r="K6" s="73"/>
      <c r="L6" s="73"/>
      <c r="M6" s="73"/>
      <c r="N6" s="73"/>
      <c r="O6" s="73"/>
      <c r="P6" s="73"/>
      <c r="Q6" s="73"/>
      <c r="R6" s="73"/>
      <c r="S6" s="73"/>
      <c r="T6" s="73"/>
      <c r="U6" s="74"/>
    </row>
    <row r="7" spans="1:30" s="15" customFormat="1" x14ac:dyDescent="0.25">
      <c r="B7" s="72" t="s">
        <v>3042</v>
      </c>
      <c r="C7" s="73"/>
      <c r="D7" s="73"/>
      <c r="E7" s="73"/>
      <c r="F7" s="73"/>
      <c r="G7" s="73"/>
      <c r="H7" s="73"/>
      <c r="I7" s="73"/>
      <c r="J7" s="73"/>
      <c r="K7" s="73"/>
      <c r="L7" s="73"/>
      <c r="M7" s="73"/>
      <c r="N7" s="73"/>
      <c r="O7" s="73"/>
      <c r="P7" s="73"/>
      <c r="Q7" s="73"/>
      <c r="R7" s="73"/>
      <c r="S7" s="73"/>
      <c r="T7" s="73"/>
      <c r="U7" s="74"/>
    </row>
    <row r="8" spans="1:30" s="15" customFormat="1" x14ac:dyDescent="0.25">
      <c r="B8" s="72" t="s">
        <v>3043</v>
      </c>
      <c r="C8" s="73"/>
      <c r="D8" s="73"/>
      <c r="E8" s="73"/>
      <c r="F8" s="73"/>
      <c r="G8" s="73"/>
      <c r="H8" s="73"/>
      <c r="I8" s="73"/>
      <c r="J8" s="73"/>
      <c r="K8" s="73"/>
      <c r="L8" s="73"/>
      <c r="M8" s="73"/>
      <c r="N8" s="73"/>
      <c r="O8" s="73"/>
      <c r="P8" s="73"/>
      <c r="Q8" s="73"/>
      <c r="R8" s="73"/>
      <c r="S8" s="73"/>
      <c r="T8" s="73"/>
      <c r="U8" s="74"/>
    </row>
    <row r="9" spans="1:30" s="15" customFormat="1" x14ac:dyDescent="0.25">
      <c r="B9" s="72" t="s">
        <v>3044</v>
      </c>
      <c r="C9" s="73"/>
      <c r="D9" s="73"/>
      <c r="E9" s="73"/>
      <c r="F9" s="73"/>
      <c r="G9" s="73"/>
      <c r="H9" s="73"/>
      <c r="I9" s="73"/>
      <c r="J9" s="73"/>
      <c r="K9" s="73"/>
      <c r="L9" s="73"/>
      <c r="M9" s="73"/>
      <c r="N9" s="73"/>
      <c r="O9" s="73"/>
      <c r="P9" s="73"/>
      <c r="Q9" s="73"/>
      <c r="R9" s="73"/>
      <c r="S9" s="73"/>
      <c r="T9" s="73"/>
      <c r="U9" s="74"/>
    </row>
    <row r="10" spans="1:30" s="15" customFormat="1" x14ac:dyDescent="0.25">
      <c r="B10" s="72" t="s">
        <v>3415</v>
      </c>
      <c r="C10" s="73"/>
      <c r="D10" s="73"/>
      <c r="E10" s="73"/>
      <c r="F10" s="73"/>
      <c r="G10" s="73"/>
      <c r="H10" s="73"/>
      <c r="I10" s="73"/>
      <c r="J10" s="73"/>
      <c r="K10" s="73"/>
      <c r="L10" s="73"/>
      <c r="M10" s="73"/>
      <c r="N10" s="73"/>
      <c r="O10" s="73"/>
      <c r="P10" s="73"/>
      <c r="Q10" s="73"/>
      <c r="R10" s="73"/>
      <c r="S10" s="73"/>
      <c r="T10" s="73"/>
      <c r="U10" s="74"/>
    </row>
    <row r="11" spans="1:30" s="15" customFormat="1" x14ac:dyDescent="0.25">
      <c r="B11" s="72" t="s">
        <v>3416</v>
      </c>
      <c r="C11" s="73"/>
      <c r="D11" s="73"/>
      <c r="E11" s="73"/>
      <c r="F11" s="73"/>
      <c r="G11" s="73"/>
      <c r="H11" s="73"/>
      <c r="I11" s="73"/>
      <c r="J11" s="73"/>
      <c r="K11" s="73"/>
      <c r="L11" s="73"/>
      <c r="M11" s="73"/>
      <c r="N11" s="73"/>
      <c r="O11" s="73"/>
      <c r="P11" s="73"/>
      <c r="Q11" s="73"/>
      <c r="R11" s="73"/>
      <c r="S11" s="73"/>
      <c r="T11" s="73"/>
      <c r="U11" s="74"/>
    </row>
    <row r="12" spans="1:30" s="15" customFormat="1" x14ac:dyDescent="0.25">
      <c r="B12" s="72" t="s">
        <v>3417</v>
      </c>
      <c r="C12" s="73"/>
      <c r="D12" s="73"/>
      <c r="E12" s="73"/>
      <c r="F12" s="73"/>
      <c r="G12" s="73"/>
      <c r="H12" s="73"/>
      <c r="I12" s="73"/>
      <c r="J12" s="73"/>
      <c r="K12" s="73"/>
      <c r="L12" s="73"/>
      <c r="M12" s="73"/>
      <c r="N12" s="73"/>
      <c r="O12" s="73"/>
      <c r="P12" s="73"/>
      <c r="Q12" s="73"/>
      <c r="R12" s="73"/>
      <c r="S12" s="73"/>
      <c r="T12" s="73"/>
      <c r="U12" s="74"/>
    </row>
    <row r="13" spans="1:30" s="15" customFormat="1" x14ac:dyDescent="0.25">
      <c r="B13" s="72" t="s">
        <v>3048</v>
      </c>
      <c r="C13" s="73"/>
      <c r="D13" s="73"/>
      <c r="E13" s="73"/>
      <c r="F13" s="73"/>
      <c r="G13" s="73"/>
      <c r="H13" s="73"/>
      <c r="I13" s="73"/>
      <c r="J13" s="73"/>
      <c r="K13" s="73"/>
      <c r="L13" s="73"/>
      <c r="M13" s="73"/>
      <c r="N13" s="73"/>
      <c r="O13" s="73"/>
      <c r="P13" s="73"/>
      <c r="Q13" s="73"/>
      <c r="R13" s="73"/>
      <c r="S13" s="73"/>
      <c r="T13" s="73"/>
      <c r="U13" s="74"/>
    </row>
    <row r="14" spans="1:30" s="15" customFormat="1" x14ac:dyDescent="0.25">
      <c r="B14" s="72" t="s">
        <v>3049</v>
      </c>
      <c r="C14" s="73"/>
      <c r="D14" s="73"/>
      <c r="E14" s="73"/>
      <c r="F14" s="73"/>
      <c r="G14" s="73"/>
      <c r="H14" s="73"/>
      <c r="I14" s="73"/>
      <c r="J14" s="73"/>
      <c r="K14" s="73"/>
      <c r="L14" s="73"/>
      <c r="M14" s="73"/>
      <c r="N14" s="73"/>
      <c r="O14" s="73"/>
      <c r="P14" s="73"/>
      <c r="Q14" s="73"/>
      <c r="R14" s="73"/>
      <c r="S14" s="73"/>
      <c r="T14" s="73"/>
      <c r="U14" s="74"/>
    </row>
    <row r="15" spans="1:30" s="15" customFormat="1" x14ac:dyDescent="0.25">
      <c r="B15" s="72" t="s">
        <v>3050</v>
      </c>
      <c r="C15" s="73"/>
      <c r="D15" s="73"/>
      <c r="E15" s="73"/>
      <c r="F15" s="73"/>
      <c r="G15" s="73"/>
      <c r="H15" s="73"/>
      <c r="I15" s="73"/>
      <c r="J15" s="73"/>
      <c r="K15" s="73"/>
      <c r="L15" s="73"/>
      <c r="M15" s="73"/>
      <c r="N15" s="73"/>
      <c r="O15" s="73"/>
      <c r="P15" s="73"/>
      <c r="Q15" s="73"/>
      <c r="R15" s="73"/>
      <c r="S15" s="73"/>
      <c r="T15" s="73"/>
      <c r="U15" s="74"/>
    </row>
    <row r="16" spans="1:30" s="15" customFormat="1" x14ac:dyDescent="0.25">
      <c r="B16" s="72" t="s">
        <v>3051</v>
      </c>
      <c r="C16" s="73"/>
      <c r="D16" s="73"/>
      <c r="E16" s="73"/>
      <c r="F16" s="73"/>
      <c r="G16" s="73"/>
      <c r="H16" s="73"/>
      <c r="I16" s="73"/>
      <c r="J16" s="73"/>
      <c r="K16" s="73"/>
      <c r="L16" s="73"/>
      <c r="M16" s="73"/>
      <c r="N16" s="73"/>
      <c r="O16" s="73"/>
      <c r="P16" s="73"/>
      <c r="Q16" s="73"/>
      <c r="R16" s="73"/>
      <c r="S16" s="73"/>
      <c r="T16" s="73"/>
      <c r="U16" s="74"/>
    </row>
    <row r="17" spans="2:21" s="15" customFormat="1" x14ac:dyDescent="0.25">
      <c r="B17" s="72" t="s">
        <v>3052</v>
      </c>
      <c r="C17" s="73"/>
      <c r="D17" s="73"/>
      <c r="E17" s="73"/>
      <c r="F17" s="73"/>
      <c r="G17" s="73"/>
      <c r="H17" s="73"/>
      <c r="I17" s="73"/>
      <c r="J17" s="73"/>
      <c r="K17" s="73"/>
      <c r="L17" s="73"/>
      <c r="M17" s="73"/>
      <c r="N17" s="73"/>
      <c r="O17" s="73"/>
      <c r="P17" s="73"/>
      <c r="Q17" s="73"/>
      <c r="R17" s="73"/>
      <c r="S17" s="73"/>
      <c r="T17" s="73"/>
      <c r="U17" s="74"/>
    </row>
    <row r="18" spans="2:21" s="15" customFormat="1" x14ac:dyDescent="0.25">
      <c r="B18" s="72" t="s">
        <v>3418</v>
      </c>
      <c r="C18" s="73"/>
      <c r="D18" s="73"/>
      <c r="E18" s="73"/>
      <c r="F18" s="73"/>
      <c r="G18" s="73"/>
      <c r="H18" s="73"/>
      <c r="I18" s="73"/>
      <c r="J18" s="73"/>
      <c r="K18" s="73"/>
      <c r="L18" s="73"/>
      <c r="M18" s="73"/>
      <c r="N18" s="73"/>
      <c r="O18" s="73"/>
      <c r="P18" s="73"/>
      <c r="Q18" s="73"/>
      <c r="R18" s="73"/>
      <c r="S18" s="73"/>
      <c r="T18" s="73"/>
      <c r="U18" s="74"/>
    </row>
    <row r="19" spans="2:21" s="15" customFormat="1" x14ac:dyDescent="0.25">
      <c r="B19" s="72" t="s">
        <v>3054</v>
      </c>
      <c r="C19" s="73"/>
      <c r="D19" s="73"/>
      <c r="E19" s="73"/>
      <c r="F19" s="73"/>
      <c r="G19" s="73"/>
      <c r="H19" s="73"/>
      <c r="I19" s="73"/>
      <c r="J19" s="73"/>
      <c r="K19" s="73"/>
      <c r="L19" s="73"/>
      <c r="M19" s="73"/>
      <c r="N19" s="73"/>
      <c r="O19" s="73"/>
      <c r="P19" s="73"/>
      <c r="Q19" s="73"/>
      <c r="R19" s="73"/>
      <c r="S19" s="73"/>
      <c r="T19" s="73"/>
      <c r="U19" s="74"/>
    </row>
    <row r="20" spans="2:21" s="15" customFormat="1" x14ac:dyDescent="0.25">
      <c r="B20" s="72" t="s">
        <v>3419</v>
      </c>
      <c r="C20" s="73"/>
      <c r="D20" s="73"/>
      <c r="E20" s="73"/>
      <c r="F20" s="73"/>
      <c r="G20" s="73"/>
      <c r="H20" s="73"/>
      <c r="I20" s="73"/>
      <c r="J20" s="73"/>
      <c r="K20" s="73"/>
      <c r="L20" s="73"/>
      <c r="M20" s="73"/>
      <c r="N20" s="73"/>
      <c r="O20" s="73"/>
      <c r="P20" s="73"/>
      <c r="Q20" s="73"/>
      <c r="R20" s="73"/>
      <c r="S20" s="73"/>
      <c r="T20" s="73"/>
      <c r="U20" s="74"/>
    </row>
    <row r="21" spans="2:21" s="15" customFormat="1" x14ac:dyDescent="0.25">
      <c r="B21" s="72" t="s">
        <v>3420</v>
      </c>
      <c r="C21" s="73"/>
      <c r="D21" s="73"/>
      <c r="E21" s="73"/>
      <c r="F21" s="73"/>
      <c r="G21" s="73"/>
      <c r="H21" s="73"/>
      <c r="I21" s="73"/>
      <c r="J21" s="73"/>
      <c r="K21" s="73"/>
      <c r="L21" s="73"/>
      <c r="M21" s="73"/>
      <c r="N21" s="73"/>
      <c r="O21" s="73"/>
      <c r="P21" s="73"/>
      <c r="Q21" s="73"/>
      <c r="R21" s="73"/>
      <c r="S21" s="73"/>
      <c r="T21" s="73"/>
      <c r="U21" s="74"/>
    </row>
    <row r="22" spans="2:21" s="15" customFormat="1" x14ac:dyDescent="0.25">
      <c r="B22" s="72" t="s">
        <v>3058</v>
      </c>
      <c r="C22" s="73"/>
      <c r="D22" s="73"/>
      <c r="E22" s="73"/>
      <c r="F22" s="73"/>
      <c r="G22" s="73"/>
      <c r="H22" s="73"/>
      <c r="I22" s="73"/>
      <c r="J22" s="73"/>
      <c r="K22" s="73"/>
      <c r="L22" s="73"/>
      <c r="M22" s="73"/>
      <c r="N22" s="73"/>
      <c r="O22" s="73"/>
      <c r="P22" s="73"/>
      <c r="Q22" s="73"/>
      <c r="R22" s="73"/>
      <c r="S22" s="73"/>
      <c r="T22" s="73"/>
      <c r="U22" s="74"/>
    </row>
    <row r="23" spans="2:21" s="15" customFormat="1" x14ac:dyDescent="0.25">
      <c r="B23" s="72" t="s">
        <v>3059</v>
      </c>
      <c r="C23" s="73"/>
      <c r="D23" s="73"/>
      <c r="E23" s="73"/>
      <c r="F23" s="73"/>
      <c r="G23" s="73"/>
      <c r="H23" s="73"/>
      <c r="I23" s="73"/>
      <c r="J23" s="73"/>
      <c r="K23" s="73"/>
      <c r="L23" s="73"/>
      <c r="M23" s="73"/>
      <c r="N23" s="73"/>
      <c r="O23" s="73"/>
      <c r="P23" s="73"/>
      <c r="Q23" s="73"/>
      <c r="R23" s="73"/>
      <c r="S23" s="73"/>
      <c r="T23" s="73"/>
      <c r="U23" s="74"/>
    </row>
    <row r="24" spans="2:21" s="15" customFormat="1" x14ac:dyDescent="0.25">
      <c r="B24" s="72" t="s">
        <v>3421</v>
      </c>
      <c r="C24" s="73"/>
      <c r="D24" s="73"/>
      <c r="E24" s="73"/>
      <c r="F24" s="73"/>
      <c r="G24" s="73"/>
      <c r="H24" s="73"/>
      <c r="I24" s="73"/>
      <c r="J24" s="73"/>
      <c r="K24" s="73"/>
      <c r="L24" s="73"/>
      <c r="M24" s="73"/>
      <c r="N24" s="73"/>
      <c r="O24" s="73"/>
      <c r="P24" s="73"/>
      <c r="Q24" s="73"/>
      <c r="R24" s="73"/>
      <c r="S24" s="73"/>
      <c r="T24" s="73"/>
      <c r="U24" s="74"/>
    </row>
    <row r="25" spans="2:21" s="15" customFormat="1" x14ac:dyDescent="0.25">
      <c r="B25" s="72" t="s">
        <v>3422</v>
      </c>
      <c r="C25" s="73"/>
      <c r="D25" s="73"/>
      <c r="E25" s="73"/>
      <c r="F25" s="73"/>
      <c r="G25" s="73"/>
      <c r="H25" s="73"/>
      <c r="I25" s="73"/>
      <c r="J25" s="73"/>
      <c r="K25" s="73"/>
      <c r="L25" s="73"/>
      <c r="M25" s="73"/>
      <c r="N25" s="73"/>
      <c r="O25" s="73"/>
      <c r="P25" s="73"/>
      <c r="Q25" s="73"/>
      <c r="R25" s="73"/>
      <c r="S25" s="73"/>
      <c r="T25" s="73"/>
      <c r="U25" s="74"/>
    </row>
    <row r="26" spans="2:21" s="15" customFormat="1" x14ac:dyDescent="0.25">
      <c r="B26" s="72" t="s">
        <v>3423</v>
      </c>
      <c r="C26" s="73"/>
      <c r="D26" s="73"/>
      <c r="E26" s="73"/>
      <c r="F26" s="73"/>
      <c r="G26" s="73"/>
      <c r="H26" s="73"/>
      <c r="I26" s="73"/>
      <c r="J26" s="73"/>
      <c r="K26" s="73"/>
      <c r="L26" s="73"/>
      <c r="M26" s="73"/>
      <c r="N26" s="73"/>
      <c r="O26" s="73"/>
      <c r="P26" s="73"/>
      <c r="Q26" s="73"/>
      <c r="R26" s="73"/>
      <c r="S26" s="73"/>
      <c r="T26" s="73"/>
      <c r="U26" s="74"/>
    </row>
    <row r="27" spans="2:21" s="15" customFormat="1" x14ac:dyDescent="0.25">
      <c r="B27" s="72" t="s">
        <v>3221</v>
      </c>
      <c r="C27" s="73"/>
      <c r="D27" s="73"/>
      <c r="E27" s="73"/>
      <c r="F27" s="73"/>
      <c r="G27" s="73"/>
      <c r="H27" s="73"/>
      <c r="I27" s="73"/>
      <c r="J27" s="73"/>
      <c r="K27" s="73"/>
      <c r="L27" s="73"/>
      <c r="M27" s="73"/>
      <c r="N27" s="73"/>
      <c r="O27" s="73"/>
      <c r="P27" s="73"/>
      <c r="Q27" s="73"/>
      <c r="R27" s="73"/>
      <c r="S27" s="73"/>
      <c r="T27" s="73"/>
      <c r="U27" s="74"/>
    </row>
    <row r="28" spans="2:21" s="15" customFormat="1" x14ac:dyDescent="0.25">
      <c r="B28" s="72" t="s">
        <v>3222</v>
      </c>
      <c r="C28" s="73"/>
      <c r="D28" s="73"/>
      <c r="E28" s="73"/>
      <c r="F28" s="73"/>
      <c r="G28" s="73"/>
      <c r="H28" s="73"/>
      <c r="I28" s="73"/>
      <c r="J28" s="73"/>
      <c r="K28" s="73"/>
      <c r="L28" s="73"/>
      <c r="M28" s="73"/>
      <c r="N28" s="73"/>
      <c r="O28" s="73"/>
      <c r="P28" s="73"/>
      <c r="Q28" s="73"/>
      <c r="R28" s="73"/>
      <c r="S28" s="73"/>
      <c r="T28" s="73"/>
      <c r="U28" s="74"/>
    </row>
    <row r="29" spans="2:21" s="15" customFormat="1" x14ac:dyDescent="0.25">
      <c r="B29" s="72" t="s">
        <v>3063</v>
      </c>
      <c r="C29" s="73"/>
      <c r="D29" s="73"/>
      <c r="E29" s="73"/>
      <c r="F29" s="73"/>
      <c r="G29" s="73"/>
      <c r="H29" s="73"/>
      <c r="I29" s="73"/>
      <c r="J29" s="73"/>
      <c r="K29" s="73"/>
      <c r="L29" s="73"/>
      <c r="M29" s="73"/>
      <c r="N29" s="73"/>
      <c r="O29" s="73"/>
      <c r="P29" s="73"/>
      <c r="Q29" s="73"/>
      <c r="R29" s="73"/>
      <c r="S29" s="73"/>
      <c r="T29" s="73"/>
      <c r="U29" s="74"/>
    </row>
    <row r="30" spans="2:21" s="15" customFormat="1" x14ac:dyDescent="0.25">
      <c r="B30" s="72" t="s">
        <v>3424</v>
      </c>
      <c r="C30" s="73"/>
      <c r="D30" s="73"/>
      <c r="E30" s="73"/>
      <c r="F30" s="73"/>
      <c r="G30" s="73"/>
      <c r="H30" s="73"/>
      <c r="I30" s="73"/>
      <c r="J30" s="73"/>
      <c r="K30" s="73"/>
      <c r="L30" s="73"/>
      <c r="M30" s="73"/>
      <c r="N30" s="73"/>
      <c r="O30" s="73"/>
      <c r="P30" s="73"/>
      <c r="Q30" s="73"/>
      <c r="R30" s="73"/>
      <c r="S30" s="73"/>
      <c r="T30" s="73"/>
      <c r="U30" s="74"/>
    </row>
    <row r="31" spans="2:21" s="15" customFormat="1" x14ac:dyDescent="0.25">
      <c r="B31" s="72" t="s">
        <v>3223</v>
      </c>
      <c r="C31" s="73"/>
      <c r="D31" s="73"/>
      <c r="E31" s="73"/>
      <c r="F31" s="73"/>
      <c r="G31" s="73"/>
      <c r="H31" s="73"/>
      <c r="I31" s="73"/>
      <c r="J31" s="73"/>
      <c r="K31" s="73"/>
      <c r="L31" s="73"/>
      <c r="M31" s="73"/>
      <c r="N31" s="73"/>
      <c r="O31" s="73"/>
      <c r="P31" s="73"/>
      <c r="Q31" s="73"/>
      <c r="R31" s="73"/>
      <c r="S31" s="73"/>
      <c r="T31" s="73"/>
      <c r="U31" s="74"/>
    </row>
    <row r="32" spans="2:21" s="15" customFormat="1" x14ac:dyDescent="0.25">
      <c r="B32" s="72" t="s">
        <v>3067</v>
      </c>
      <c r="C32" s="73"/>
      <c r="D32" s="73"/>
      <c r="E32" s="73"/>
      <c r="F32" s="73"/>
      <c r="G32" s="73"/>
      <c r="H32" s="73"/>
      <c r="I32" s="73"/>
      <c r="J32" s="73"/>
      <c r="K32" s="73"/>
      <c r="L32" s="73"/>
      <c r="M32" s="73"/>
      <c r="N32" s="73"/>
      <c r="O32" s="73"/>
      <c r="P32" s="73"/>
      <c r="Q32" s="73"/>
      <c r="R32" s="73"/>
      <c r="S32" s="73"/>
      <c r="T32" s="73"/>
      <c r="U32" s="74"/>
    </row>
    <row r="33" spans="2:21" s="15" customFormat="1" x14ac:dyDescent="0.25">
      <c r="B33" s="72" t="s">
        <v>3425</v>
      </c>
      <c r="C33" s="73"/>
      <c r="D33" s="73"/>
      <c r="E33" s="73"/>
      <c r="F33" s="73"/>
      <c r="G33" s="73"/>
      <c r="H33" s="73"/>
      <c r="I33" s="73"/>
      <c r="J33" s="73"/>
      <c r="K33" s="73"/>
      <c r="L33" s="73"/>
      <c r="M33" s="73"/>
      <c r="N33" s="73"/>
      <c r="O33" s="73"/>
      <c r="P33" s="73"/>
      <c r="Q33" s="73"/>
      <c r="R33" s="73"/>
      <c r="S33" s="73"/>
      <c r="T33" s="73"/>
      <c r="U33" s="74"/>
    </row>
    <row r="34" spans="2:21" s="15" customFormat="1" x14ac:dyDescent="0.25">
      <c r="B34" s="72" t="s">
        <v>3426</v>
      </c>
      <c r="C34" s="73"/>
      <c r="D34" s="73"/>
      <c r="E34" s="73"/>
      <c r="F34" s="73"/>
      <c r="G34" s="73"/>
      <c r="H34" s="73"/>
      <c r="I34" s="73"/>
      <c r="J34" s="73"/>
      <c r="K34" s="73"/>
      <c r="L34" s="73"/>
      <c r="M34" s="73"/>
      <c r="N34" s="73"/>
      <c r="O34" s="73"/>
      <c r="P34" s="73"/>
      <c r="Q34" s="73"/>
      <c r="R34" s="73"/>
      <c r="S34" s="73"/>
      <c r="T34" s="73"/>
      <c r="U34" s="74"/>
    </row>
    <row r="35" spans="2:21" s="15" customFormat="1" x14ac:dyDescent="0.25">
      <c r="B35" s="72" t="s">
        <v>3427</v>
      </c>
      <c r="C35" s="73"/>
      <c r="D35" s="73"/>
      <c r="E35" s="73"/>
      <c r="F35" s="73"/>
      <c r="G35" s="73"/>
      <c r="H35" s="73"/>
      <c r="I35" s="73"/>
      <c r="J35" s="73"/>
      <c r="K35" s="73"/>
      <c r="L35" s="73"/>
      <c r="M35" s="73"/>
      <c r="N35" s="73"/>
      <c r="O35" s="73"/>
      <c r="P35" s="73"/>
      <c r="Q35" s="73"/>
      <c r="R35" s="73"/>
      <c r="S35" s="73"/>
      <c r="T35" s="73"/>
      <c r="U35" s="74"/>
    </row>
    <row r="36" spans="2:21" s="15" customFormat="1" x14ac:dyDescent="0.25">
      <c r="B36" s="72" t="s">
        <v>3071</v>
      </c>
      <c r="C36" s="73"/>
      <c r="D36" s="73"/>
      <c r="E36" s="73"/>
      <c r="F36" s="73"/>
      <c r="G36" s="73"/>
      <c r="H36" s="73"/>
      <c r="I36" s="73"/>
      <c r="J36" s="73"/>
      <c r="K36" s="73"/>
      <c r="L36" s="73"/>
      <c r="M36" s="73"/>
      <c r="N36" s="73"/>
      <c r="O36" s="73"/>
      <c r="P36" s="73"/>
      <c r="Q36" s="73"/>
      <c r="R36" s="73"/>
      <c r="S36" s="73"/>
      <c r="T36" s="73"/>
      <c r="U36" s="74"/>
    </row>
    <row r="37" spans="2:21" s="15" customFormat="1" x14ac:dyDescent="0.25">
      <c r="B37" s="72" t="s">
        <v>3072</v>
      </c>
      <c r="C37" s="73"/>
      <c r="D37" s="73"/>
      <c r="E37" s="73"/>
      <c r="F37" s="73"/>
      <c r="G37" s="73"/>
      <c r="H37" s="73"/>
      <c r="I37" s="73"/>
      <c r="J37" s="73"/>
      <c r="K37" s="73"/>
      <c r="L37" s="73"/>
      <c r="M37" s="73"/>
      <c r="N37" s="73"/>
      <c r="O37" s="73"/>
      <c r="P37" s="73"/>
      <c r="Q37" s="73"/>
      <c r="R37" s="73"/>
      <c r="S37" s="73"/>
      <c r="T37" s="73"/>
      <c r="U37" s="74"/>
    </row>
    <row r="38" spans="2:21" s="15" customFormat="1" x14ac:dyDescent="0.25">
      <c r="B38" s="72" t="s">
        <v>3428</v>
      </c>
      <c r="C38" s="73"/>
      <c r="D38" s="73"/>
      <c r="E38" s="73"/>
      <c r="F38" s="73"/>
      <c r="G38" s="73"/>
      <c r="H38" s="73"/>
      <c r="I38" s="73"/>
      <c r="J38" s="73"/>
      <c r="K38" s="73"/>
      <c r="L38" s="73"/>
      <c r="M38" s="73"/>
      <c r="N38" s="73"/>
      <c r="O38" s="73"/>
      <c r="P38" s="73"/>
      <c r="Q38" s="73"/>
      <c r="R38" s="73"/>
      <c r="S38" s="73"/>
      <c r="T38" s="73"/>
      <c r="U38" s="74"/>
    </row>
    <row r="39" spans="2:21" s="15" customFormat="1" x14ac:dyDescent="0.25">
      <c r="B39" s="72" t="s">
        <v>3074</v>
      </c>
      <c r="C39" s="73"/>
      <c r="D39" s="73"/>
      <c r="E39" s="73"/>
      <c r="F39" s="73"/>
      <c r="G39" s="73"/>
      <c r="H39" s="73"/>
      <c r="I39" s="73"/>
      <c r="J39" s="73"/>
      <c r="K39" s="73"/>
      <c r="L39" s="73"/>
      <c r="M39" s="73"/>
      <c r="N39" s="73"/>
      <c r="O39" s="73"/>
      <c r="P39" s="73"/>
      <c r="Q39" s="73"/>
      <c r="R39" s="73"/>
      <c r="S39" s="73"/>
      <c r="T39" s="73"/>
      <c r="U39" s="74"/>
    </row>
    <row r="40" spans="2:21" s="15" customFormat="1" x14ac:dyDescent="0.25">
      <c r="B40" s="72" t="s">
        <v>3075</v>
      </c>
      <c r="C40" s="73"/>
      <c r="D40" s="73"/>
      <c r="E40" s="73"/>
      <c r="F40" s="73"/>
      <c r="G40" s="73"/>
      <c r="H40" s="73"/>
      <c r="I40" s="73"/>
      <c r="J40" s="73"/>
      <c r="K40" s="73"/>
      <c r="L40" s="73"/>
      <c r="M40" s="73"/>
      <c r="N40" s="73"/>
      <c r="O40" s="73"/>
      <c r="P40" s="73"/>
      <c r="Q40" s="73"/>
      <c r="R40" s="73"/>
      <c r="S40" s="73"/>
      <c r="T40" s="73"/>
      <c r="U40" s="74"/>
    </row>
    <row r="41" spans="2:21" s="15" customFormat="1" x14ac:dyDescent="0.25">
      <c r="B41" s="72" t="s">
        <v>3333</v>
      </c>
      <c r="C41" s="73"/>
      <c r="D41" s="73"/>
      <c r="E41" s="73"/>
      <c r="F41" s="73"/>
      <c r="G41" s="73"/>
      <c r="H41" s="73"/>
      <c r="I41" s="73"/>
      <c r="J41" s="73"/>
      <c r="K41" s="73"/>
      <c r="L41" s="73"/>
      <c r="M41" s="73"/>
      <c r="N41" s="73"/>
      <c r="O41" s="73"/>
      <c r="P41" s="73"/>
      <c r="Q41" s="73"/>
      <c r="R41" s="73"/>
      <c r="S41" s="73"/>
      <c r="T41" s="73"/>
      <c r="U41" s="74"/>
    </row>
    <row r="42" spans="2:21" s="15" customFormat="1" x14ac:dyDescent="0.25">
      <c r="B42" s="72" t="s">
        <v>3077</v>
      </c>
      <c r="C42" s="73"/>
      <c r="D42" s="73"/>
      <c r="E42" s="73"/>
      <c r="F42" s="73"/>
      <c r="G42" s="73"/>
      <c r="H42" s="73"/>
      <c r="I42" s="73"/>
      <c r="J42" s="73"/>
      <c r="K42" s="73"/>
      <c r="L42" s="73"/>
      <c r="M42" s="73"/>
      <c r="N42" s="73"/>
      <c r="O42" s="73"/>
      <c r="P42" s="73"/>
      <c r="Q42" s="73"/>
      <c r="R42" s="73"/>
      <c r="S42" s="73"/>
      <c r="T42" s="73"/>
      <c r="U42" s="74"/>
    </row>
    <row r="43" spans="2:21" s="15" customFormat="1" x14ac:dyDescent="0.25">
      <c r="B43" s="72" t="s">
        <v>3228</v>
      </c>
      <c r="C43" s="73"/>
      <c r="D43" s="73"/>
      <c r="E43" s="73"/>
      <c r="F43" s="73"/>
      <c r="G43" s="73"/>
      <c r="H43" s="73"/>
      <c r="I43" s="73"/>
      <c r="J43" s="73"/>
      <c r="K43" s="73"/>
      <c r="L43" s="73"/>
      <c r="M43" s="73"/>
      <c r="N43" s="73"/>
      <c r="O43" s="73"/>
      <c r="P43" s="73"/>
      <c r="Q43" s="73"/>
      <c r="R43" s="73"/>
      <c r="S43" s="73"/>
      <c r="T43" s="73"/>
      <c r="U43" s="74"/>
    </row>
    <row r="44" spans="2:21" s="15" customFormat="1" x14ac:dyDescent="0.25">
      <c r="B44" s="72" t="s">
        <v>3079</v>
      </c>
      <c r="C44" s="73"/>
      <c r="D44" s="73"/>
      <c r="E44" s="73"/>
      <c r="F44" s="73"/>
      <c r="G44" s="73"/>
      <c r="H44" s="73"/>
      <c r="I44" s="73"/>
      <c r="J44" s="73"/>
      <c r="K44" s="73"/>
      <c r="L44" s="73"/>
      <c r="M44" s="73"/>
      <c r="N44" s="73"/>
      <c r="O44" s="73"/>
      <c r="P44" s="73"/>
      <c r="Q44" s="73"/>
      <c r="R44" s="73"/>
      <c r="S44" s="73"/>
      <c r="T44" s="73"/>
      <c r="U44" s="74"/>
    </row>
    <row r="45" spans="2:21" s="15" customFormat="1" x14ac:dyDescent="0.25">
      <c r="B45" s="72" t="s">
        <v>3080</v>
      </c>
      <c r="C45" s="73"/>
      <c r="D45" s="73"/>
      <c r="E45" s="73"/>
      <c r="F45" s="73"/>
      <c r="G45" s="73"/>
      <c r="H45" s="73"/>
      <c r="I45" s="73"/>
      <c r="J45" s="73"/>
      <c r="K45" s="73"/>
      <c r="L45" s="73"/>
      <c r="M45" s="73"/>
      <c r="N45" s="73"/>
      <c r="O45" s="73"/>
      <c r="P45" s="73"/>
      <c r="Q45" s="73"/>
      <c r="R45" s="73"/>
      <c r="S45" s="73"/>
      <c r="T45" s="73"/>
      <c r="U45" s="74"/>
    </row>
    <row r="46" spans="2:21" s="15" customFormat="1" x14ac:dyDescent="0.25">
      <c r="B46" s="72" t="s">
        <v>3081</v>
      </c>
      <c r="C46" s="73"/>
      <c r="D46" s="73"/>
      <c r="E46" s="73"/>
      <c r="F46" s="73"/>
      <c r="G46" s="73"/>
      <c r="H46" s="73"/>
      <c r="I46" s="73"/>
      <c r="J46" s="73"/>
      <c r="K46" s="73"/>
      <c r="L46" s="73"/>
      <c r="M46" s="73"/>
      <c r="N46" s="73"/>
      <c r="O46" s="73"/>
      <c r="P46" s="73"/>
      <c r="Q46" s="73"/>
      <c r="R46" s="73"/>
      <c r="S46" s="73"/>
      <c r="T46" s="73"/>
      <c r="U46" s="74"/>
    </row>
    <row r="47" spans="2:21" s="15" customFormat="1" x14ac:dyDescent="0.25">
      <c r="B47" s="72" t="s">
        <v>3082</v>
      </c>
      <c r="C47" s="73"/>
      <c r="D47" s="73"/>
      <c r="E47" s="73"/>
      <c r="F47" s="73"/>
      <c r="G47" s="73"/>
      <c r="H47" s="73"/>
      <c r="I47" s="73"/>
      <c r="J47" s="73"/>
      <c r="K47" s="73"/>
      <c r="L47" s="73"/>
      <c r="M47" s="73"/>
      <c r="N47" s="73"/>
      <c r="O47" s="73"/>
      <c r="P47" s="73"/>
      <c r="Q47" s="73"/>
      <c r="R47" s="73"/>
      <c r="S47" s="73"/>
      <c r="T47" s="73"/>
      <c r="U47" s="74"/>
    </row>
    <row r="48" spans="2:21" s="15" customFormat="1" x14ac:dyDescent="0.25">
      <c r="B48" s="72" t="s">
        <v>3083</v>
      </c>
      <c r="C48" s="73"/>
      <c r="D48" s="73"/>
      <c r="E48" s="73"/>
      <c r="F48" s="73"/>
      <c r="G48" s="73"/>
      <c r="H48" s="73"/>
      <c r="I48" s="73"/>
      <c r="J48" s="73"/>
      <c r="K48" s="73"/>
      <c r="L48" s="73"/>
      <c r="M48" s="73"/>
      <c r="N48" s="73"/>
      <c r="O48" s="73"/>
      <c r="P48" s="73"/>
      <c r="Q48" s="73"/>
      <c r="R48" s="73"/>
      <c r="S48" s="73"/>
      <c r="T48" s="73"/>
      <c r="U48" s="74"/>
    </row>
    <row r="49" spans="2:21" s="15" customFormat="1" x14ac:dyDescent="0.25">
      <c r="B49" s="72" t="s">
        <v>3058</v>
      </c>
      <c r="C49" s="73"/>
      <c r="D49" s="73"/>
      <c r="E49" s="73"/>
      <c r="F49" s="73"/>
      <c r="G49" s="73"/>
      <c r="H49" s="73"/>
      <c r="I49" s="73"/>
      <c r="J49" s="73"/>
      <c r="K49" s="73"/>
      <c r="L49" s="73"/>
      <c r="M49" s="73"/>
      <c r="N49" s="73"/>
      <c r="O49" s="73"/>
      <c r="P49" s="73"/>
      <c r="Q49" s="73"/>
      <c r="R49" s="73"/>
      <c r="S49" s="73"/>
      <c r="T49" s="73"/>
      <c r="U49" s="74"/>
    </row>
    <row r="50" spans="2:21" s="15" customFormat="1" x14ac:dyDescent="0.25">
      <c r="B50" s="72" t="s">
        <v>3084</v>
      </c>
      <c r="C50" s="73"/>
      <c r="D50" s="73"/>
      <c r="E50" s="73"/>
      <c r="F50" s="73"/>
      <c r="G50" s="73"/>
      <c r="H50" s="73"/>
      <c r="I50" s="73"/>
      <c r="J50" s="73"/>
      <c r="K50" s="73"/>
      <c r="L50" s="73"/>
      <c r="M50" s="73"/>
      <c r="N50" s="73"/>
      <c r="O50" s="73"/>
      <c r="P50" s="73"/>
      <c r="Q50" s="73"/>
      <c r="R50" s="73"/>
      <c r="S50" s="73"/>
      <c r="T50" s="73"/>
      <c r="U50" s="74"/>
    </row>
    <row r="51" spans="2:21" s="15" customFormat="1" x14ac:dyDescent="0.25">
      <c r="B51" s="72" t="s">
        <v>3085</v>
      </c>
      <c r="C51" s="73"/>
      <c r="D51" s="73"/>
      <c r="E51" s="73"/>
      <c r="F51" s="73"/>
      <c r="G51" s="73"/>
      <c r="H51" s="73"/>
      <c r="I51" s="73"/>
      <c r="J51" s="73"/>
      <c r="K51" s="73"/>
      <c r="L51" s="73"/>
      <c r="M51" s="73"/>
      <c r="N51" s="73"/>
      <c r="O51" s="73"/>
      <c r="P51" s="73"/>
      <c r="Q51" s="73"/>
      <c r="R51" s="73"/>
      <c r="S51" s="73"/>
      <c r="T51" s="73"/>
      <c r="U51" s="74"/>
    </row>
    <row r="52" spans="2:21" s="15" customFormat="1" x14ac:dyDescent="0.25">
      <c r="B52" s="72" t="s">
        <v>3334</v>
      </c>
      <c r="C52" s="73"/>
      <c r="D52" s="73"/>
      <c r="E52" s="73"/>
      <c r="F52" s="73"/>
      <c r="G52" s="73"/>
      <c r="H52" s="73"/>
      <c r="I52" s="73"/>
      <c r="J52" s="73"/>
      <c r="K52" s="73"/>
      <c r="L52" s="73"/>
      <c r="M52" s="73"/>
      <c r="N52" s="73"/>
      <c r="O52" s="73"/>
      <c r="P52" s="73"/>
      <c r="Q52" s="73"/>
      <c r="R52" s="73"/>
      <c r="S52" s="73"/>
      <c r="T52" s="73"/>
      <c r="U52" s="74"/>
    </row>
    <row r="53" spans="2:21" s="15" customFormat="1" x14ac:dyDescent="0.25">
      <c r="B53" s="72" t="s">
        <v>3429</v>
      </c>
      <c r="C53" s="73"/>
      <c r="D53" s="73"/>
      <c r="E53" s="73"/>
      <c r="F53" s="73"/>
      <c r="G53" s="73"/>
      <c r="H53" s="73"/>
      <c r="I53" s="73"/>
      <c r="J53" s="73"/>
      <c r="K53" s="73"/>
      <c r="L53" s="73"/>
      <c r="M53" s="73"/>
      <c r="N53" s="73"/>
      <c r="O53" s="73"/>
      <c r="P53" s="73"/>
      <c r="Q53" s="73"/>
      <c r="R53" s="73"/>
      <c r="S53" s="73"/>
      <c r="T53" s="73"/>
      <c r="U53" s="74"/>
    </row>
    <row r="54" spans="2:21" s="15" customFormat="1" x14ac:dyDescent="0.25">
      <c r="B54" s="72" t="s">
        <v>3083</v>
      </c>
      <c r="C54" s="73"/>
      <c r="D54" s="73"/>
      <c r="E54" s="73"/>
      <c r="F54" s="73"/>
      <c r="G54" s="73"/>
      <c r="H54" s="73"/>
      <c r="I54" s="73"/>
      <c r="J54" s="73"/>
      <c r="K54" s="73"/>
      <c r="L54" s="73"/>
      <c r="M54" s="73"/>
      <c r="N54" s="73"/>
      <c r="O54" s="73"/>
      <c r="P54" s="73"/>
      <c r="Q54" s="73"/>
      <c r="R54" s="73"/>
      <c r="S54" s="73"/>
      <c r="T54" s="73"/>
      <c r="U54" s="74"/>
    </row>
    <row r="55" spans="2:21" s="15" customFormat="1" x14ac:dyDescent="0.25">
      <c r="B55" s="72" t="s">
        <v>3093</v>
      </c>
      <c r="C55" s="73"/>
      <c r="D55" s="73"/>
      <c r="E55" s="73"/>
      <c r="F55" s="73"/>
      <c r="G55" s="73"/>
      <c r="H55" s="73"/>
      <c r="I55" s="73"/>
      <c r="J55" s="73"/>
      <c r="K55" s="73"/>
      <c r="L55" s="73"/>
      <c r="M55" s="73"/>
      <c r="N55" s="73"/>
      <c r="O55" s="73"/>
      <c r="P55" s="73"/>
      <c r="Q55" s="73"/>
      <c r="R55" s="73"/>
      <c r="S55" s="73"/>
      <c r="T55" s="73"/>
      <c r="U55" s="74"/>
    </row>
    <row r="56" spans="2:21" s="15" customFormat="1" x14ac:dyDescent="0.25">
      <c r="B56" s="72" t="s">
        <v>3430</v>
      </c>
      <c r="C56" s="73"/>
      <c r="D56" s="73"/>
      <c r="E56" s="73"/>
      <c r="F56" s="73"/>
      <c r="G56" s="73"/>
      <c r="H56" s="73"/>
      <c r="I56" s="73"/>
      <c r="J56" s="73"/>
      <c r="K56" s="73"/>
      <c r="L56" s="73"/>
      <c r="M56" s="73"/>
      <c r="N56" s="73"/>
      <c r="O56" s="73"/>
      <c r="P56" s="73"/>
      <c r="Q56" s="73"/>
      <c r="R56" s="73"/>
      <c r="S56" s="73"/>
      <c r="T56" s="73"/>
      <c r="U56" s="74"/>
    </row>
    <row r="57" spans="2:21" s="15" customFormat="1" x14ac:dyDescent="0.25">
      <c r="B57" s="72" t="s">
        <v>3431</v>
      </c>
      <c r="C57" s="73"/>
      <c r="D57" s="73"/>
      <c r="E57" s="73"/>
      <c r="F57" s="73"/>
      <c r="G57" s="73"/>
      <c r="H57" s="73"/>
      <c r="I57" s="73"/>
      <c r="J57" s="73"/>
      <c r="K57" s="73"/>
      <c r="L57" s="73"/>
      <c r="M57" s="73"/>
      <c r="N57" s="73"/>
      <c r="O57" s="73"/>
      <c r="P57" s="73"/>
      <c r="Q57" s="73"/>
      <c r="R57" s="73"/>
      <c r="S57" s="73"/>
      <c r="T57" s="73"/>
      <c r="U57" s="74"/>
    </row>
    <row r="58" spans="2:21" s="15" customFormat="1" x14ac:dyDescent="0.25">
      <c r="B58" s="72" t="s">
        <v>3432</v>
      </c>
      <c r="C58" s="73"/>
      <c r="D58" s="73"/>
      <c r="E58" s="73"/>
      <c r="F58" s="73"/>
      <c r="G58" s="73"/>
      <c r="H58" s="73"/>
      <c r="I58" s="73"/>
      <c r="J58" s="73"/>
      <c r="K58" s="73"/>
      <c r="L58" s="73"/>
      <c r="M58" s="73"/>
      <c r="N58" s="73"/>
      <c r="O58" s="73"/>
      <c r="P58" s="73"/>
      <c r="Q58" s="73"/>
      <c r="R58" s="73"/>
      <c r="S58" s="73"/>
      <c r="T58" s="73"/>
      <c r="U58" s="74"/>
    </row>
    <row r="59" spans="2:21" s="15" customFormat="1" x14ac:dyDescent="0.25">
      <c r="B59" s="72" t="s">
        <v>3433</v>
      </c>
      <c r="C59" s="73"/>
      <c r="D59" s="73"/>
      <c r="E59" s="73"/>
      <c r="F59" s="73"/>
      <c r="G59" s="73"/>
      <c r="H59" s="73"/>
      <c r="I59" s="73"/>
      <c r="J59" s="73"/>
      <c r="K59" s="73"/>
      <c r="L59" s="73"/>
      <c r="M59" s="73"/>
      <c r="N59" s="73"/>
      <c r="O59" s="73"/>
      <c r="P59" s="73"/>
      <c r="Q59" s="73"/>
      <c r="R59" s="73"/>
      <c r="S59" s="73"/>
      <c r="T59" s="73"/>
      <c r="U59" s="74"/>
    </row>
    <row r="60" spans="2:21" s="15" customFormat="1" x14ac:dyDescent="0.25">
      <c r="B60" s="72" t="s">
        <v>3434</v>
      </c>
      <c r="C60" s="73"/>
      <c r="D60" s="73"/>
      <c r="E60" s="73"/>
      <c r="F60" s="73"/>
      <c r="G60" s="73"/>
      <c r="H60" s="73"/>
      <c r="I60" s="73"/>
      <c r="J60" s="73"/>
      <c r="K60" s="73"/>
      <c r="L60" s="73"/>
      <c r="M60" s="73"/>
      <c r="N60" s="73"/>
      <c r="O60" s="73"/>
      <c r="P60" s="73"/>
      <c r="Q60" s="73"/>
      <c r="R60" s="73"/>
      <c r="S60" s="73"/>
      <c r="T60" s="73"/>
      <c r="U60" s="74"/>
    </row>
    <row r="61" spans="2:21" s="15" customFormat="1" x14ac:dyDescent="0.25">
      <c r="B61" s="72" t="s">
        <v>3435</v>
      </c>
      <c r="C61" s="73"/>
      <c r="D61" s="73"/>
      <c r="E61" s="73"/>
      <c r="F61" s="73"/>
      <c r="G61" s="73"/>
      <c r="H61" s="73"/>
      <c r="I61" s="73"/>
      <c r="J61" s="73"/>
      <c r="K61" s="73"/>
      <c r="L61" s="73"/>
      <c r="M61" s="73"/>
      <c r="N61" s="73"/>
      <c r="O61" s="73"/>
      <c r="P61" s="73"/>
      <c r="Q61" s="73"/>
      <c r="R61" s="73"/>
      <c r="S61" s="73"/>
      <c r="T61" s="73"/>
      <c r="U61" s="74"/>
    </row>
    <row r="62" spans="2:21" s="15" customFormat="1" x14ac:dyDescent="0.25">
      <c r="B62" s="72" t="s">
        <v>3436</v>
      </c>
      <c r="C62" s="73"/>
      <c r="D62" s="73"/>
      <c r="E62" s="73"/>
      <c r="F62" s="73"/>
      <c r="G62" s="73"/>
      <c r="H62" s="73"/>
      <c r="I62" s="73"/>
      <c r="J62" s="73"/>
      <c r="K62" s="73"/>
      <c r="L62" s="73"/>
      <c r="M62" s="73"/>
      <c r="N62" s="73"/>
      <c r="O62" s="73"/>
      <c r="P62" s="73"/>
      <c r="Q62" s="73"/>
      <c r="R62" s="73"/>
      <c r="S62" s="73"/>
      <c r="T62" s="73"/>
      <c r="U62" s="74"/>
    </row>
    <row r="63" spans="2:21" s="15" customFormat="1" x14ac:dyDescent="0.25">
      <c r="B63" s="72" t="s">
        <v>3437</v>
      </c>
      <c r="C63" s="73"/>
      <c r="D63" s="73"/>
      <c r="E63" s="73"/>
      <c r="F63" s="73"/>
      <c r="G63" s="73"/>
      <c r="H63" s="73"/>
      <c r="I63" s="73"/>
      <c r="J63" s="73"/>
      <c r="K63" s="73"/>
      <c r="L63" s="73"/>
      <c r="M63" s="73"/>
      <c r="N63" s="73"/>
      <c r="O63" s="73"/>
      <c r="P63" s="73"/>
      <c r="Q63" s="73"/>
      <c r="R63" s="73"/>
      <c r="S63" s="73"/>
      <c r="T63" s="73"/>
      <c r="U63" s="74"/>
    </row>
    <row r="64" spans="2:21" s="15" customFormat="1" x14ac:dyDescent="0.25">
      <c r="B64" s="72" t="s">
        <v>3438</v>
      </c>
      <c r="C64" s="73"/>
      <c r="D64" s="73"/>
      <c r="E64" s="73"/>
      <c r="F64" s="73"/>
      <c r="G64" s="73"/>
      <c r="H64" s="73"/>
      <c r="I64" s="73"/>
      <c r="J64" s="73"/>
      <c r="K64" s="73"/>
      <c r="L64" s="73"/>
      <c r="M64" s="73"/>
      <c r="N64" s="73"/>
      <c r="O64" s="73"/>
      <c r="P64" s="73"/>
      <c r="Q64" s="73"/>
      <c r="R64" s="73"/>
      <c r="S64" s="73"/>
      <c r="T64" s="73"/>
      <c r="U64" s="74"/>
    </row>
    <row r="65" spans="2:21" s="15" customFormat="1" x14ac:dyDescent="0.25">
      <c r="B65" s="72" t="s">
        <v>3439</v>
      </c>
      <c r="C65" s="73"/>
      <c r="D65" s="73"/>
      <c r="E65" s="73"/>
      <c r="F65" s="73"/>
      <c r="G65" s="73"/>
      <c r="H65" s="73"/>
      <c r="I65" s="73"/>
      <c r="J65" s="73"/>
      <c r="K65" s="73"/>
      <c r="L65" s="73"/>
      <c r="M65" s="73"/>
      <c r="N65" s="73"/>
      <c r="O65" s="73"/>
      <c r="P65" s="73"/>
      <c r="Q65" s="73"/>
      <c r="R65" s="73"/>
      <c r="S65" s="73"/>
      <c r="T65" s="73"/>
      <c r="U65" s="74"/>
    </row>
    <row r="66" spans="2:21" s="15" customFormat="1" x14ac:dyDescent="0.25">
      <c r="B66" s="72" t="s">
        <v>3440</v>
      </c>
      <c r="C66" s="73"/>
      <c r="D66" s="73"/>
      <c r="E66" s="73"/>
      <c r="F66" s="73"/>
      <c r="G66" s="73"/>
      <c r="H66" s="73"/>
      <c r="I66" s="73"/>
      <c r="J66" s="73"/>
      <c r="K66" s="73"/>
      <c r="L66" s="73"/>
      <c r="M66" s="73"/>
      <c r="N66" s="73"/>
      <c r="O66" s="73"/>
      <c r="P66" s="73"/>
      <c r="Q66" s="73"/>
      <c r="R66" s="73"/>
      <c r="S66" s="73"/>
      <c r="T66" s="73"/>
      <c r="U66" s="74"/>
    </row>
    <row r="67" spans="2:21" s="15" customFormat="1" x14ac:dyDescent="0.25">
      <c r="B67" s="72" t="s">
        <v>3441</v>
      </c>
      <c r="C67" s="73"/>
      <c r="D67" s="73"/>
      <c r="E67" s="73"/>
      <c r="F67" s="73"/>
      <c r="G67" s="73"/>
      <c r="H67" s="73"/>
      <c r="I67" s="73"/>
      <c r="J67" s="73"/>
      <c r="K67" s="73"/>
      <c r="L67" s="73"/>
      <c r="M67" s="73"/>
      <c r="N67" s="73"/>
      <c r="O67" s="73"/>
      <c r="P67" s="73"/>
      <c r="Q67" s="73"/>
      <c r="R67" s="73"/>
      <c r="S67" s="73"/>
      <c r="T67" s="73"/>
      <c r="U67" s="74"/>
    </row>
    <row r="68" spans="2:21" s="15" customFormat="1" x14ac:dyDescent="0.25">
      <c r="B68" s="72" t="s">
        <v>3058</v>
      </c>
      <c r="C68" s="73"/>
      <c r="D68" s="73"/>
      <c r="E68" s="73"/>
      <c r="F68" s="73"/>
      <c r="G68" s="73"/>
      <c r="H68" s="73"/>
      <c r="I68" s="73"/>
      <c r="J68" s="73"/>
      <c r="K68" s="73"/>
      <c r="L68" s="73"/>
      <c r="M68" s="73"/>
      <c r="N68" s="73"/>
      <c r="O68" s="73"/>
      <c r="P68" s="73"/>
      <c r="Q68" s="73"/>
      <c r="R68" s="73"/>
      <c r="S68" s="73"/>
      <c r="T68" s="73"/>
      <c r="U68" s="74"/>
    </row>
    <row r="69" spans="2:21" s="15" customFormat="1" x14ac:dyDescent="0.25">
      <c r="B69" s="72" t="s">
        <v>3162</v>
      </c>
      <c r="C69" s="73"/>
      <c r="D69" s="73"/>
      <c r="E69" s="73"/>
      <c r="F69" s="73"/>
      <c r="G69" s="73"/>
      <c r="H69" s="73"/>
      <c r="I69" s="73"/>
      <c r="J69" s="73"/>
      <c r="K69" s="73"/>
      <c r="L69" s="73"/>
      <c r="M69" s="73"/>
      <c r="N69" s="73"/>
      <c r="O69" s="73"/>
      <c r="P69" s="73"/>
      <c r="Q69" s="73"/>
      <c r="R69" s="73"/>
      <c r="S69" s="73"/>
      <c r="T69" s="73"/>
      <c r="U69" s="74"/>
    </row>
    <row r="70" spans="2:21" s="15" customFormat="1" x14ac:dyDescent="0.25">
      <c r="B70" s="72" t="s">
        <v>3085</v>
      </c>
      <c r="C70" s="73"/>
      <c r="D70" s="73"/>
      <c r="E70" s="73"/>
      <c r="F70" s="73"/>
      <c r="G70" s="73"/>
      <c r="H70" s="73"/>
      <c r="I70" s="73"/>
      <c r="J70" s="73"/>
      <c r="K70" s="73"/>
      <c r="L70" s="73"/>
      <c r="M70" s="73"/>
      <c r="N70" s="73"/>
      <c r="O70" s="73"/>
      <c r="P70" s="73"/>
      <c r="Q70" s="73"/>
      <c r="R70" s="73"/>
      <c r="S70" s="73"/>
      <c r="T70" s="73"/>
      <c r="U70" s="74"/>
    </row>
    <row r="71" spans="2:21" s="15" customFormat="1" x14ac:dyDescent="0.25">
      <c r="B71" s="72" t="s">
        <v>3163</v>
      </c>
      <c r="C71" s="73"/>
      <c r="D71" s="73"/>
      <c r="E71" s="73"/>
      <c r="F71" s="73"/>
      <c r="G71" s="73"/>
      <c r="H71" s="73"/>
      <c r="I71" s="73"/>
      <c r="J71" s="73"/>
      <c r="K71" s="73"/>
      <c r="L71" s="73"/>
      <c r="M71" s="73"/>
      <c r="N71" s="73"/>
      <c r="O71" s="73"/>
      <c r="P71" s="73"/>
      <c r="Q71" s="73"/>
      <c r="R71" s="73"/>
      <c r="S71" s="73"/>
      <c r="T71" s="73"/>
      <c r="U71" s="74"/>
    </row>
    <row r="72" spans="2:21" s="15" customFormat="1" x14ac:dyDescent="0.25">
      <c r="B72" s="72" t="s">
        <v>3442</v>
      </c>
      <c r="C72" s="73"/>
      <c r="D72" s="73"/>
      <c r="E72" s="73"/>
      <c r="F72" s="73"/>
      <c r="G72" s="73"/>
      <c r="H72" s="73"/>
      <c r="I72" s="73"/>
      <c r="J72" s="73"/>
      <c r="K72" s="73"/>
      <c r="L72" s="73"/>
      <c r="M72" s="73"/>
      <c r="N72" s="73"/>
      <c r="O72" s="73"/>
      <c r="P72" s="73"/>
      <c r="Q72" s="73"/>
      <c r="R72" s="73"/>
      <c r="S72" s="73"/>
      <c r="T72" s="73"/>
      <c r="U72" s="74"/>
    </row>
    <row r="73" spans="2:21" s="15" customFormat="1" x14ac:dyDescent="0.25">
      <c r="B73" s="72" t="s">
        <v>3083</v>
      </c>
      <c r="C73" s="73"/>
      <c r="D73" s="73"/>
      <c r="E73" s="73"/>
      <c r="F73" s="73"/>
      <c r="G73" s="73"/>
      <c r="H73" s="73"/>
      <c r="I73" s="73"/>
      <c r="J73" s="73"/>
      <c r="K73" s="73"/>
      <c r="L73" s="73"/>
      <c r="M73" s="73"/>
      <c r="N73" s="73"/>
      <c r="O73" s="73"/>
      <c r="P73" s="73"/>
      <c r="Q73" s="73"/>
      <c r="R73" s="73"/>
      <c r="S73" s="73"/>
      <c r="T73" s="73"/>
      <c r="U73" s="74"/>
    </row>
    <row r="74" spans="2:21" s="15" customFormat="1" x14ac:dyDescent="0.25">
      <c r="B74" s="72" t="s">
        <v>3093</v>
      </c>
      <c r="C74" s="73"/>
      <c r="D74" s="73"/>
      <c r="E74" s="73"/>
      <c r="F74" s="73"/>
      <c r="G74" s="73"/>
      <c r="H74" s="73"/>
      <c r="I74" s="73"/>
      <c r="J74" s="73"/>
      <c r="K74" s="73"/>
      <c r="L74" s="73"/>
      <c r="M74" s="73"/>
      <c r="N74" s="73"/>
      <c r="O74" s="73"/>
      <c r="P74" s="73"/>
      <c r="Q74" s="73"/>
      <c r="R74" s="73"/>
      <c r="S74" s="73"/>
      <c r="T74" s="73"/>
      <c r="U74" s="74"/>
    </row>
    <row r="75" spans="2:21" s="15" customFormat="1" x14ac:dyDescent="0.25">
      <c r="B75" s="72" t="s">
        <v>3165</v>
      </c>
      <c r="C75" s="73"/>
      <c r="D75" s="73"/>
      <c r="E75" s="73"/>
      <c r="F75" s="73"/>
      <c r="G75" s="73"/>
      <c r="H75" s="73"/>
      <c r="I75" s="73"/>
      <c r="J75" s="73"/>
      <c r="K75" s="73"/>
      <c r="L75" s="73"/>
      <c r="M75" s="73"/>
      <c r="N75" s="73"/>
      <c r="O75" s="73"/>
      <c r="P75" s="73"/>
      <c r="Q75" s="73"/>
      <c r="R75" s="73"/>
      <c r="S75" s="73"/>
      <c r="T75" s="73"/>
      <c r="U75" s="74"/>
    </row>
    <row r="76" spans="2:21" s="15" customFormat="1" x14ac:dyDescent="0.25">
      <c r="B76" s="72" t="s">
        <v>3085</v>
      </c>
      <c r="C76" s="73"/>
      <c r="D76" s="73"/>
      <c r="E76" s="73"/>
      <c r="F76" s="73"/>
      <c r="G76" s="73"/>
      <c r="H76" s="73"/>
      <c r="I76" s="73"/>
      <c r="J76" s="73"/>
      <c r="K76" s="73"/>
      <c r="L76" s="73"/>
      <c r="M76" s="73"/>
      <c r="N76" s="73"/>
      <c r="O76" s="73"/>
      <c r="P76" s="73"/>
      <c r="Q76" s="73"/>
      <c r="R76" s="73"/>
      <c r="S76" s="73"/>
      <c r="T76" s="73"/>
      <c r="U76" s="74"/>
    </row>
    <row r="77" spans="2:21" s="15" customFormat="1" x14ac:dyDescent="0.25">
      <c r="B77" s="72" t="s">
        <v>3166</v>
      </c>
      <c r="C77" s="73"/>
      <c r="D77" s="73"/>
      <c r="E77" s="73"/>
      <c r="F77" s="73"/>
      <c r="G77" s="73"/>
      <c r="H77" s="73"/>
      <c r="I77" s="73"/>
      <c r="J77" s="73"/>
      <c r="K77" s="73"/>
      <c r="L77" s="73"/>
      <c r="M77" s="73"/>
      <c r="N77" s="73"/>
      <c r="O77" s="73"/>
      <c r="P77" s="73"/>
      <c r="Q77" s="73"/>
      <c r="R77" s="73"/>
      <c r="S77" s="73"/>
      <c r="T77" s="73"/>
      <c r="U77" s="74"/>
    </row>
    <row r="78" spans="2:21" s="15" customFormat="1" x14ac:dyDescent="0.25">
      <c r="B78" s="72" t="s">
        <v>3167</v>
      </c>
      <c r="C78" s="73"/>
      <c r="D78" s="73"/>
      <c r="E78" s="73"/>
      <c r="F78" s="73"/>
      <c r="G78" s="73"/>
      <c r="H78" s="73"/>
      <c r="I78" s="73"/>
      <c r="J78" s="73"/>
      <c r="K78" s="73"/>
      <c r="L78" s="73"/>
      <c r="M78" s="73"/>
      <c r="N78" s="73"/>
      <c r="O78" s="73"/>
      <c r="P78" s="73"/>
      <c r="Q78" s="73"/>
      <c r="R78" s="73"/>
      <c r="S78" s="73"/>
      <c r="T78" s="73"/>
      <c r="U78" s="74"/>
    </row>
    <row r="79" spans="2:21" s="15" customFormat="1" x14ac:dyDescent="0.25">
      <c r="B79" s="72" t="s">
        <v>3398</v>
      </c>
      <c r="C79" s="73"/>
      <c r="D79" s="73"/>
      <c r="E79" s="73"/>
      <c r="F79" s="73"/>
      <c r="G79" s="73"/>
      <c r="H79" s="73"/>
      <c r="I79" s="73"/>
      <c r="J79" s="73"/>
      <c r="K79" s="73"/>
      <c r="L79" s="73"/>
      <c r="M79" s="73"/>
      <c r="N79" s="73"/>
      <c r="O79" s="73"/>
      <c r="P79" s="73"/>
      <c r="Q79" s="73"/>
      <c r="R79" s="73"/>
      <c r="S79" s="73"/>
      <c r="T79" s="73"/>
      <c r="U79" s="74"/>
    </row>
    <row r="80" spans="2:21" s="15" customFormat="1" x14ac:dyDescent="0.25">
      <c r="B80" s="72" t="s">
        <v>3443</v>
      </c>
      <c r="C80" s="73"/>
      <c r="D80" s="73"/>
      <c r="E80" s="73"/>
      <c r="F80" s="73"/>
      <c r="G80" s="73"/>
      <c r="H80" s="73"/>
      <c r="I80" s="73"/>
      <c r="J80" s="73"/>
      <c r="K80" s="73"/>
      <c r="L80" s="73"/>
      <c r="M80" s="73"/>
      <c r="N80" s="73"/>
      <c r="O80" s="73"/>
      <c r="P80" s="73"/>
      <c r="Q80" s="73"/>
      <c r="R80" s="73"/>
      <c r="S80" s="73"/>
      <c r="T80" s="73"/>
      <c r="U80" s="74"/>
    </row>
    <row r="81" spans="2:21" s="15" customFormat="1" x14ac:dyDescent="0.25">
      <c r="B81" s="72" t="s">
        <v>3283</v>
      </c>
      <c r="C81" s="73"/>
      <c r="D81" s="73"/>
      <c r="E81" s="73"/>
      <c r="F81" s="73"/>
      <c r="G81" s="73"/>
      <c r="H81" s="73"/>
      <c r="I81" s="73"/>
      <c r="J81" s="73"/>
      <c r="K81" s="73"/>
      <c r="L81" s="73"/>
      <c r="M81" s="73"/>
      <c r="N81" s="73"/>
      <c r="O81" s="73"/>
      <c r="P81" s="73"/>
      <c r="Q81" s="73"/>
      <c r="R81" s="73"/>
      <c r="S81" s="73"/>
      <c r="T81" s="73"/>
      <c r="U81" s="74"/>
    </row>
    <row r="82" spans="2:21" s="15" customFormat="1" x14ac:dyDescent="0.25">
      <c r="B82" s="72" t="s">
        <v>3171</v>
      </c>
      <c r="C82" s="73"/>
      <c r="D82" s="73"/>
      <c r="E82" s="73"/>
      <c r="F82" s="73"/>
      <c r="G82" s="73"/>
      <c r="H82" s="73"/>
      <c r="I82" s="73"/>
      <c r="J82" s="73"/>
      <c r="K82" s="73"/>
      <c r="L82" s="73"/>
      <c r="M82" s="73"/>
      <c r="N82" s="73"/>
      <c r="O82" s="73"/>
      <c r="P82" s="73"/>
      <c r="Q82" s="73"/>
      <c r="R82" s="73"/>
      <c r="S82" s="73"/>
      <c r="T82" s="73"/>
      <c r="U82" s="74"/>
    </row>
    <row r="83" spans="2:21" s="15" customFormat="1" x14ac:dyDescent="0.25">
      <c r="B83" s="72" t="s">
        <v>3172</v>
      </c>
      <c r="C83" s="73"/>
      <c r="D83" s="73"/>
      <c r="E83" s="73"/>
      <c r="F83" s="73"/>
      <c r="G83" s="73"/>
      <c r="H83" s="73"/>
      <c r="I83" s="73"/>
      <c r="J83" s="73"/>
      <c r="K83" s="73"/>
      <c r="L83" s="73"/>
      <c r="M83" s="73"/>
      <c r="N83" s="73"/>
      <c r="O83" s="73"/>
      <c r="P83" s="73"/>
      <c r="Q83" s="73"/>
      <c r="R83" s="73"/>
      <c r="S83" s="73"/>
      <c r="T83" s="73"/>
      <c r="U83" s="74"/>
    </row>
    <row r="84" spans="2:21" s="15" customFormat="1" x14ac:dyDescent="0.25">
      <c r="B84" s="72" t="s">
        <v>3173</v>
      </c>
      <c r="C84" s="73"/>
      <c r="D84" s="73"/>
      <c r="E84" s="73"/>
      <c r="F84" s="73"/>
      <c r="G84" s="73"/>
      <c r="H84" s="73"/>
      <c r="I84" s="73"/>
      <c r="J84" s="73"/>
      <c r="K84" s="73"/>
      <c r="L84" s="73"/>
      <c r="M84" s="73"/>
      <c r="N84" s="73"/>
      <c r="O84" s="73"/>
      <c r="P84" s="73"/>
      <c r="Q84" s="73"/>
      <c r="R84" s="73"/>
      <c r="S84" s="73"/>
      <c r="T84" s="73"/>
      <c r="U84" s="74"/>
    </row>
    <row r="85" spans="2:21" s="15" customFormat="1" x14ac:dyDescent="0.25">
      <c r="B85" s="72" t="s">
        <v>3286</v>
      </c>
      <c r="C85" s="73"/>
      <c r="D85" s="73"/>
      <c r="E85" s="73"/>
      <c r="F85" s="73"/>
      <c r="G85" s="73"/>
      <c r="H85" s="73"/>
      <c r="I85" s="73"/>
      <c r="J85" s="73"/>
      <c r="K85" s="73"/>
      <c r="L85" s="73"/>
      <c r="M85" s="73"/>
      <c r="N85" s="73"/>
      <c r="O85" s="73"/>
      <c r="P85" s="73"/>
      <c r="Q85" s="73"/>
      <c r="R85" s="73"/>
      <c r="S85" s="73"/>
      <c r="T85" s="73"/>
      <c r="U85" s="74"/>
    </row>
    <row r="86" spans="2:21" s="15" customFormat="1" x14ac:dyDescent="0.25">
      <c r="B86" s="72" t="s">
        <v>3175</v>
      </c>
      <c r="C86" s="73"/>
      <c r="D86" s="73"/>
      <c r="E86" s="73"/>
      <c r="F86" s="73"/>
      <c r="G86" s="73"/>
      <c r="H86" s="73"/>
      <c r="I86" s="73"/>
      <c r="J86" s="73"/>
      <c r="K86" s="73"/>
      <c r="L86" s="73"/>
      <c r="M86" s="73"/>
      <c r="N86" s="73"/>
      <c r="O86" s="73"/>
      <c r="P86" s="73"/>
      <c r="Q86" s="73"/>
      <c r="R86" s="73"/>
      <c r="S86" s="73"/>
      <c r="T86" s="73"/>
      <c r="U86" s="74"/>
    </row>
    <row r="87" spans="2:21" s="15" customFormat="1" x14ac:dyDescent="0.25">
      <c r="B87" s="72" t="s">
        <v>3176</v>
      </c>
      <c r="C87" s="73"/>
      <c r="D87" s="73"/>
      <c r="E87" s="73"/>
      <c r="F87" s="73"/>
      <c r="G87" s="73"/>
      <c r="H87" s="73"/>
      <c r="I87" s="73"/>
      <c r="J87" s="73"/>
      <c r="K87" s="73"/>
      <c r="L87" s="73"/>
      <c r="M87" s="73"/>
      <c r="N87" s="73"/>
      <c r="O87" s="73"/>
      <c r="P87" s="73"/>
      <c r="Q87" s="73"/>
      <c r="R87" s="73"/>
      <c r="S87" s="73"/>
      <c r="T87" s="73"/>
      <c r="U87" s="74"/>
    </row>
    <row r="88" spans="2:21" s="15" customFormat="1" x14ac:dyDescent="0.25">
      <c r="B88" s="72" t="s">
        <v>3177</v>
      </c>
      <c r="C88" s="73"/>
      <c r="D88" s="73"/>
      <c r="E88" s="73"/>
      <c r="F88" s="73"/>
      <c r="G88" s="73"/>
      <c r="H88" s="73"/>
      <c r="I88" s="73"/>
      <c r="J88" s="73"/>
      <c r="K88" s="73"/>
      <c r="L88" s="73"/>
      <c r="M88" s="73"/>
      <c r="N88" s="73"/>
      <c r="O88" s="73"/>
      <c r="P88" s="73"/>
      <c r="Q88" s="73"/>
      <c r="R88" s="73"/>
      <c r="S88" s="73"/>
      <c r="T88" s="73"/>
      <c r="U88" s="74"/>
    </row>
    <row r="89" spans="2:21" s="15" customFormat="1" x14ac:dyDescent="0.25">
      <c r="B89" s="72" t="s">
        <v>3289</v>
      </c>
      <c r="C89" s="73"/>
      <c r="D89" s="73"/>
      <c r="E89" s="73"/>
      <c r="F89" s="73"/>
      <c r="G89" s="73"/>
      <c r="H89" s="73"/>
      <c r="I89" s="73"/>
      <c r="J89" s="73"/>
      <c r="K89" s="73"/>
      <c r="L89" s="73"/>
      <c r="M89" s="73"/>
      <c r="N89" s="73"/>
      <c r="O89" s="73"/>
      <c r="P89" s="73"/>
      <c r="Q89" s="73"/>
      <c r="R89" s="73"/>
      <c r="S89" s="73"/>
      <c r="T89" s="73"/>
      <c r="U89" s="74"/>
    </row>
    <row r="90" spans="2:21" s="15" customFormat="1" x14ac:dyDescent="0.25">
      <c r="B90" s="72" t="s">
        <v>3290</v>
      </c>
      <c r="C90" s="73"/>
      <c r="D90" s="73"/>
      <c r="E90" s="73"/>
      <c r="F90" s="73"/>
      <c r="G90" s="73"/>
      <c r="H90" s="73"/>
      <c r="I90" s="73"/>
      <c r="J90" s="73"/>
      <c r="K90" s="73"/>
      <c r="L90" s="73"/>
      <c r="M90" s="73"/>
      <c r="N90" s="73"/>
      <c r="O90" s="73"/>
      <c r="P90" s="73"/>
      <c r="Q90" s="73"/>
      <c r="R90" s="73"/>
      <c r="S90" s="73"/>
      <c r="T90" s="73"/>
      <c r="U90" s="74"/>
    </row>
    <row r="91" spans="2:21" s="15" customFormat="1" x14ac:dyDescent="0.25">
      <c r="B91" s="72" t="s">
        <v>3180</v>
      </c>
      <c r="C91" s="73"/>
      <c r="D91" s="73"/>
      <c r="E91" s="73"/>
      <c r="F91" s="73"/>
      <c r="G91" s="73"/>
      <c r="H91" s="73"/>
      <c r="I91" s="73"/>
      <c r="J91" s="73"/>
      <c r="K91" s="73"/>
      <c r="L91" s="73"/>
      <c r="M91" s="73"/>
      <c r="N91" s="73"/>
      <c r="O91" s="73"/>
      <c r="P91" s="73"/>
      <c r="Q91" s="73"/>
      <c r="R91" s="73"/>
      <c r="S91" s="73"/>
      <c r="T91" s="73"/>
      <c r="U91" s="74"/>
    </row>
    <row r="92" spans="2:21" s="15" customFormat="1" x14ac:dyDescent="0.25">
      <c r="B92" s="72" t="s">
        <v>3181</v>
      </c>
      <c r="C92" s="73"/>
      <c r="D92" s="73"/>
      <c r="E92" s="73"/>
      <c r="F92" s="73"/>
      <c r="G92" s="73"/>
      <c r="H92" s="73"/>
      <c r="I92" s="73"/>
      <c r="J92" s="73"/>
      <c r="K92" s="73"/>
      <c r="L92" s="73"/>
      <c r="M92" s="73"/>
      <c r="N92" s="73"/>
      <c r="O92" s="73"/>
      <c r="P92" s="73"/>
      <c r="Q92" s="73"/>
      <c r="R92" s="73"/>
      <c r="S92" s="73"/>
      <c r="T92" s="73"/>
      <c r="U92" s="74"/>
    </row>
    <row r="93" spans="2:21" s="15" customFormat="1" x14ac:dyDescent="0.25">
      <c r="B93" s="72" t="s">
        <v>3085</v>
      </c>
      <c r="C93" s="73"/>
      <c r="D93" s="73"/>
      <c r="E93" s="73"/>
      <c r="F93" s="73"/>
      <c r="G93" s="73"/>
      <c r="H93" s="73"/>
      <c r="I93" s="73"/>
      <c r="J93" s="73"/>
      <c r="K93" s="73"/>
      <c r="L93" s="73"/>
      <c r="M93" s="73"/>
      <c r="N93" s="73"/>
      <c r="O93" s="73"/>
      <c r="P93" s="73"/>
      <c r="Q93" s="73"/>
      <c r="R93" s="73"/>
      <c r="S93" s="73"/>
      <c r="T93" s="73"/>
      <c r="U93" s="74"/>
    </row>
    <row r="94" spans="2:21" s="15" customFormat="1" x14ac:dyDescent="0.25">
      <c r="B94" s="72" t="s">
        <v>3182</v>
      </c>
      <c r="C94" s="73"/>
      <c r="D94" s="73"/>
      <c r="E94" s="73"/>
      <c r="F94" s="73"/>
      <c r="G94" s="73"/>
      <c r="H94" s="73"/>
      <c r="I94" s="73"/>
      <c r="J94" s="73"/>
      <c r="K94" s="73"/>
      <c r="L94" s="73"/>
      <c r="M94" s="73"/>
      <c r="N94" s="73"/>
      <c r="O94" s="73"/>
      <c r="P94" s="73"/>
      <c r="Q94" s="73"/>
      <c r="R94" s="73"/>
      <c r="S94" s="73"/>
      <c r="T94" s="73"/>
      <c r="U94" s="74"/>
    </row>
    <row r="95" spans="2:21" s="15" customFormat="1" x14ac:dyDescent="0.25">
      <c r="B95" s="72" t="s">
        <v>3183</v>
      </c>
      <c r="C95" s="73"/>
      <c r="D95" s="73"/>
      <c r="E95" s="73"/>
      <c r="F95" s="73"/>
      <c r="G95" s="73"/>
      <c r="H95" s="73"/>
      <c r="I95" s="73"/>
      <c r="J95" s="73"/>
      <c r="K95" s="73"/>
      <c r="L95" s="73"/>
      <c r="M95" s="73"/>
      <c r="N95" s="73"/>
      <c r="O95" s="73"/>
      <c r="P95" s="73"/>
      <c r="Q95" s="73"/>
      <c r="R95" s="73"/>
      <c r="S95" s="73"/>
      <c r="T95" s="73"/>
      <c r="U95" s="74"/>
    </row>
    <row r="96" spans="2:21" s="15" customFormat="1" x14ac:dyDescent="0.25">
      <c r="B96" s="72" t="s">
        <v>3168</v>
      </c>
      <c r="C96" s="73"/>
      <c r="D96" s="73"/>
      <c r="E96" s="73"/>
      <c r="F96" s="73"/>
      <c r="G96" s="73"/>
      <c r="H96" s="73"/>
      <c r="I96" s="73"/>
      <c r="J96" s="73"/>
      <c r="K96" s="73"/>
      <c r="L96" s="73"/>
      <c r="M96" s="73"/>
      <c r="N96" s="73"/>
      <c r="O96" s="73"/>
      <c r="P96" s="73"/>
      <c r="Q96" s="73"/>
      <c r="R96" s="73"/>
      <c r="S96" s="73"/>
      <c r="T96" s="73"/>
      <c r="U96" s="74"/>
    </row>
    <row r="97" spans="2:21" s="15" customFormat="1" x14ac:dyDescent="0.25">
      <c r="B97" s="72" t="s">
        <v>3282</v>
      </c>
      <c r="C97" s="73"/>
      <c r="D97" s="73"/>
      <c r="E97" s="73"/>
      <c r="F97" s="73"/>
      <c r="G97" s="73"/>
      <c r="H97" s="73"/>
      <c r="I97" s="73"/>
      <c r="J97" s="73"/>
      <c r="K97" s="73"/>
      <c r="L97" s="73"/>
      <c r="M97" s="73"/>
      <c r="N97" s="73"/>
      <c r="O97" s="73"/>
      <c r="P97" s="73"/>
      <c r="Q97" s="73"/>
      <c r="R97" s="73"/>
      <c r="S97" s="73"/>
      <c r="T97" s="73"/>
      <c r="U97" s="74"/>
    </row>
    <row r="98" spans="2:21" s="15" customFormat="1" x14ac:dyDescent="0.25">
      <c r="B98" s="72" t="s">
        <v>3283</v>
      </c>
      <c r="C98" s="73"/>
      <c r="D98" s="73"/>
      <c r="E98" s="73"/>
      <c r="F98" s="73"/>
      <c r="G98" s="73"/>
      <c r="H98" s="73"/>
      <c r="I98" s="73"/>
      <c r="J98" s="73"/>
      <c r="K98" s="73"/>
      <c r="L98" s="73"/>
      <c r="M98" s="73"/>
      <c r="N98" s="73"/>
      <c r="O98" s="73"/>
      <c r="P98" s="73"/>
      <c r="Q98" s="73"/>
      <c r="R98" s="73"/>
      <c r="S98" s="73"/>
      <c r="T98" s="73"/>
      <c r="U98" s="74"/>
    </row>
    <row r="99" spans="2:21" s="15" customFormat="1" x14ac:dyDescent="0.25">
      <c r="B99" s="72" t="s">
        <v>3171</v>
      </c>
      <c r="C99" s="73"/>
      <c r="D99" s="73"/>
      <c r="E99" s="73"/>
      <c r="F99" s="73"/>
      <c r="G99" s="73"/>
      <c r="H99" s="73"/>
      <c r="I99" s="73"/>
      <c r="J99" s="73"/>
      <c r="K99" s="73"/>
      <c r="L99" s="73"/>
      <c r="M99" s="73"/>
      <c r="N99" s="73"/>
      <c r="O99" s="73"/>
      <c r="P99" s="73"/>
      <c r="Q99" s="73"/>
      <c r="R99" s="73"/>
      <c r="S99" s="73"/>
      <c r="T99" s="73"/>
      <c r="U99" s="74"/>
    </row>
    <row r="100" spans="2:21" s="15" customFormat="1" x14ac:dyDescent="0.25">
      <c r="B100" s="72" t="s">
        <v>3172</v>
      </c>
      <c r="C100" s="73"/>
      <c r="D100" s="73"/>
      <c r="E100" s="73"/>
      <c r="F100" s="73"/>
      <c r="G100" s="73"/>
      <c r="H100" s="73"/>
      <c r="I100" s="73"/>
      <c r="J100" s="73"/>
      <c r="K100" s="73"/>
      <c r="L100" s="73"/>
      <c r="M100" s="73"/>
      <c r="N100" s="73"/>
      <c r="O100" s="73"/>
      <c r="P100" s="73"/>
      <c r="Q100" s="73"/>
      <c r="R100" s="73"/>
      <c r="S100" s="73"/>
      <c r="T100" s="73"/>
      <c r="U100" s="74"/>
    </row>
    <row r="101" spans="2:21" s="15" customFormat="1" x14ac:dyDescent="0.25">
      <c r="B101" s="72" t="s">
        <v>3173</v>
      </c>
      <c r="C101" s="73"/>
      <c r="D101" s="73"/>
      <c r="E101" s="73"/>
      <c r="F101" s="73"/>
      <c r="G101" s="73"/>
      <c r="H101" s="73"/>
      <c r="I101" s="73"/>
      <c r="J101" s="73"/>
      <c r="K101" s="73"/>
      <c r="L101" s="73"/>
      <c r="M101" s="73"/>
      <c r="N101" s="73"/>
      <c r="O101" s="73"/>
      <c r="P101" s="73"/>
      <c r="Q101" s="73"/>
      <c r="R101" s="73"/>
      <c r="S101" s="73"/>
      <c r="T101" s="73"/>
      <c r="U101" s="74"/>
    </row>
    <row r="102" spans="2:21" s="15" customFormat="1" x14ac:dyDescent="0.25">
      <c r="B102" s="72" t="s">
        <v>3286</v>
      </c>
      <c r="C102" s="73"/>
      <c r="D102" s="73"/>
      <c r="E102" s="73"/>
      <c r="F102" s="73"/>
      <c r="G102" s="73"/>
      <c r="H102" s="73"/>
      <c r="I102" s="73"/>
      <c r="J102" s="73"/>
      <c r="K102" s="73"/>
      <c r="L102" s="73"/>
      <c r="M102" s="73"/>
      <c r="N102" s="73"/>
      <c r="O102" s="73"/>
      <c r="P102" s="73"/>
      <c r="Q102" s="73"/>
      <c r="R102" s="73"/>
      <c r="S102" s="73"/>
      <c r="T102" s="73"/>
      <c r="U102" s="74"/>
    </row>
    <row r="103" spans="2:21" s="15" customFormat="1" x14ac:dyDescent="0.25">
      <c r="B103" s="72" t="s">
        <v>3298</v>
      </c>
      <c r="C103" s="73"/>
      <c r="D103" s="73"/>
      <c r="E103" s="73"/>
      <c r="F103" s="73"/>
      <c r="G103" s="73"/>
      <c r="H103" s="73"/>
      <c r="I103" s="73"/>
      <c r="J103" s="73"/>
      <c r="K103" s="73"/>
      <c r="L103" s="73"/>
      <c r="M103" s="73"/>
      <c r="N103" s="73"/>
      <c r="O103" s="73"/>
      <c r="P103" s="73"/>
      <c r="Q103" s="73"/>
      <c r="R103" s="73"/>
      <c r="S103" s="73"/>
      <c r="T103" s="73"/>
      <c r="U103" s="74"/>
    </row>
    <row r="104" spans="2:21" s="15" customFormat="1" x14ac:dyDescent="0.25">
      <c r="B104" s="72" t="s">
        <v>3176</v>
      </c>
      <c r="C104" s="73"/>
      <c r="D104" s="73"/>
      <c r="E104" s="73"/>
      <c r="F104" s="73"/>
      <c r="G104" s="73"/>
      <c r="H104" s="73"/>
      <c r="I104" s="73"/>
      <c r="J104" s="73"/>
      <c r="K104" s="73"/>
      <c r="L104" s="73"/>
      <c r="M104" s="73"/>
      <c r="N104" s="73"/>
      <c r="O104" s="73"/>
      <c r="P104" s="73"/>
      <c r="Q104" s="73"/>
      <c r="R104" s="73"/>
      <c r="S104" s="73"/>
      <c r="T104" s="73"/>
      <c r="U104" s="74"/>
    </row>
    <row r="105" spans="2:21" s="15" customFormat="1" x14ac:dyDescent="0.25">
      <c r="B105" s="72" t="s">
        <v>3177</v>
      </c>
      <c r="C105" s="73"/>
      <c r="D105" s="73"/>
      <c r="E105" s="73"/>
      <c r="F105" s="73"/>
      <c r="G105" s="73"/>
      <c r="H105" s="73"/>
      <c r="I105" s="73"/>
      <c r="J105" s="73"/>
      <c r="K105" s="73"/>
      <c r="L105" s="73"/>
      <c r="M105" s="73"/>
      <c r="N105" s="73"/>
      <c r="O105" s="73"/>
      <c r="P105" s="73"/>
      <c r="Q105" s="73"/>
      <c r="R105" s="73"/>
      <c r="S105" s="73"/>
      <c r="T105" s="73"/>
      <c r="U105" s="74"/>
    </row>
    <row r="106" spans="2:21" s="15" customFormat="1" x14ac:dyDescent="0.25">
      <c r="B106" s="72" t="s">
        <v>3289</v>
      </c>
      <c r="C106" s="73"/>
      <c r="D106" s="73"/>
      <c r="E106" s="73"/>
      <c r="F106" s="73"/>
      <c r="G106" s="73"/>
      <c r="H106" s="73"/>
      <c r="I106" s="73"/>
      <c r="J106" s="73"/>
      <c r="K106" s="73"/>
      <c r="L106" s="73"/>
      <c r="M106" s="73"/>
      <c r="N106" s="73"/>
      <c r="O106" s="73"/>
      <c r="P106" s="73"/>
      <c r="Q106" s="73"/>
      <c r="R106" s="73"/>
      <c r="S106" s="73"/>
      <c r="T106" s="73"/>
      <c r="U106" s="74"/>
    </row>
    <row r="107" spans="2:21" s="15" customFormat="1" x14ac:dyDescent="0.25">
      <c r="B107" s="72" t="s">
        <v>3294</v>
      </c>
      <c r="C107" s="73"/>
      <c r="D107" s="73"/>
      <c r="E107" s="73"/>
      <c r="F107" s="73"/>
      <c r="G107" s="73"/>
      <c r="H107" s="73"/>
      <c r="I107" s="73"/>
      <c r="J107" s="73"/>
      <c r="K107" s="73"/>
      <c r="L107" s="73"/>
      <c r="M107" s="73"/>
      <c r="N107" s="73"/>
      <c r="O107" s="73"/>
      <c r="P107" s="73"/>
      <c r="Q107" s="73"/>
      <c r="R107" s="73"/>
      <c r="S107" s="73"/>
      <c r="T107" s="73"/>
      <c r="U107" s="74"/>
    </row>
    <row r="108" spans="2:21" s="15" customFormat="1" x14ac:dyDescent="0.25">
      <c r="B108" s="72" t="s">
        <v>3180</v>
      </c>
      <c r="C108" s="73"/>
      <c r="D108" s="73"/>
      <c r="E108" s="73"/>
      <c r="F108" s="73"/>
      <c r="G108" s="73"/>
      <c r="H108" s="73"/>
      <c r="I108" s="73"/>
      <c r="J108" s="73"/>
      <c r="K108" s="73"/>
      <c r="L108" s="73"/>
      <c r="M108" s="73"/>
      <c r="N108" s="73"/>
      <c r="O108" s="73"/>
      <c r="P108" s="73"/>
      <c r="Q108" s="73"/>
      <c r="R108" s="73"/>
      <c r="S108" s="73"/>
      <c r="T108" s="73"/>
      <c r="U108" s="74"/>
    </row>
    <row r="109" spans="2:21" s="15" customFormat="1" x14ac:dyDescent="0.25">
      <c r="B109" s="72" t="s">
        <v>3083</v>
      </c>
      <c r="C109" s="73"/>
      <c r="D109" s="73"/>
      <c r="E109" s="73"/>
      <c r="F109" s="73"/>
      <c r="G109" s="73"/>
      <c r="H109" s="73"/>
      <c r="I109" s="73"/>
      <c r="J109" s="73"/>
      <c r="K109" s="73"/>
      <c r="L109" s="73"/>
      <c r="M109" s="73"/>
      <c r="N109" s="73"/>
      <c r="O109" s="73"/>
      <c r="P109" s="73"/>
      <c r="Q109" s="73"/>
      <c r="R109" s="73"/>
      <c r="S109" s="73"/>
      <c r="T109" s="73"/>
      <c r="U109" s="74"/>
    </row>
    <row r="110" spans="2:21" s="15" customFormat="1" x14ac:dyDescent="0.25">
      <c r="B110" s="72" t="s">
        <v>3093</v>
      </c>
      <c r="C110" s="73"/>
      <c r="D110" s="73"/>
      <c r="E110" s="73"/>
      <c r="F110" s="73"/>
      <c r="G110" s="73"/>
      <c r="H110" s="73"/>
      <c r="I110" s="73"/>
      <c r="J110" s="73"/>
      <c r="K110" s="73"/>
      <c r="L110" s="73"/>
      <c r="M110" s="73"/>
      <c r="N110" s="73"/>
      <c r="O110" s="73"/>
      <c r="P110" s="73"/>
      <c r="Q110" s="73"/>
      <c r="R110" s="73"/>
      <c r="S110" s="73"/>
      <c r="T110" s="73"/>
      <c r="U110" s="74"/>
    </row>
    <row r="111" spans="2:21" s="15" customFormat="1" x14ac:dyDescent="0.25">
      <c r="B111" s="72" t="s">
        <v>3195</v>
      </c>
      <c r="C111" s="73"/>
      <c r="D111" s="73"/>
      <c r="E111" s="73"/>
      <c r="F111" s="73"/>
      <c r="G111" s="73"/>
      <c r="H111" s="73"/>
      <c r="I111" s="73"/>
      <c r="J111" s="73"/>
      <c r="K111" s="73"/>
      <c r="L111" s="73"/>
      <c r="M111" s="73"/>
      <c r="N111" s="73"/>
      <c r="O111" s="73"/>
      <c r="P111" s="73"/>
      <c r="Q111" s="73"/>
      <c r="R111" s="73"/>
      <c r="S111" s="73"/>
      <c r="T111" s="73"/>
      <c r="U111" s="74"/>
    </row>
    <row r="112" spans="2:21" s="15" customFormat="1" x14ac:dyDescent="0.25">
      <c r="B112" s="72" t="s">
        <v>3085</v>
      </c>
      <c r="C112" s="73"/>
      <c r="D112" s="73"/>
      <c r="E112" s="73"/>
      <c r="F112" s="73"/>
      <c r="G112" s="73"/>
      <c r="H112" s="73"/>
      <c r="I112" s="73"/>
      <c r="J112" s="73"/>
      <c r="K112" s="73"/>
      <c r="L112" s="73"/>
      <c r="M112" s="73"/>
      <c r="N112" s="73"/>
      <c r="O112" s="73"/>
      <c r="P112" s="73"/>
      <c r="Q112" s="73"/>
      <c r="R112" s="73"/>
      <c r="S112" s="73"/>
      <c r="T112" s="73"/>
      <c r="U112" s="74"/>
    </row>
    <row r="113" spans="2:21" s="15" customFormat="1" x14ac:dyDescent="0.25">
      <c r="B113" s="72" t="s">
        <v>3444</v>
      </c>
      <c r="C113" s="73"/>
      <c r="D113" s="73"/>
      <c r="E113" s="73"/>
      <c r="F113" s="73"/>
      <c r="G113" s="73"/>
      <c r="H113" s="73"/>
      <c r="I113" s="73"/>
      <c r="J113" s="73"/>
      <c r="K113" s="73"/>
      <c r="L113" s="73"/>
      <c r="M113" s="73"/>
      <c r="N113" s="73"/>
      <c r="O113" s="73"/>
      <c r="P113" s="73"/>
      <c r="Q113" s="73"/>
      <c r="R113" s="73"/>
      <c r="S113" s="73"/>
      <c r="T113" s="73"/>
      <c r="U113" s="74"/>
    </row>
    <row r="114" spans="2:21" s="15" customFormat="1" x14ac:dyDescent="0.25">
      <c r="B114" s="72" t="s">
        <v>3409</v>
      </c>
      <c r="C114" s="73"/>
      <c r="D114" s="73"/>
      <c r="E114" s="73"/>
      <c r="F114" s="73"/>
      <c r="G114" s="73"/>
      <c r="H114" s="73"/>
      <c r="I114" s="73"/>
      <c r="J114" s="73"/>
      <c r="K114" s="73"/>
      <c r="L114" s="73"/>
      <c r="M114" s="73"/>
      <c r="N114" s="73"/>
      <c r="O114" s="73"/>
      <c r="P114" s="73"/>
      <c r="Q114" s="73"/>
      <c r="R114" s="73"/>
      <c r="S114" s="73"/>
      <c r="T114" s="73"/>
      <c r="U114" s="74"/>
    </row>
    <row r="115" spans="2:21" s="15" customFormat="1" x14ac:dyDescent="0.25">
      <c r="B115" s="72" t="s">
        <v>3181</v>
      </c>
      <c r="C115" s="73"/>
      <c r="D115" s="73"/>
      <c r="E115" s="73"/>
      <c r="F115" s="73"/>
      <c r="G115" s="73"/>
      <c r="H115" s="73"/>
      <c r="I115" s="73"/>
      <c r="J115" s="73"/>
      <c r="K115" s="73"/>
      <c r="L115" s="73"/>
      <c r="M115" s="73"/>
      <c r="N115" s="73"/>
      <c r="O115" s="73"/>
      <c r="P115" s="73"/>
      <c r="Q115" s="73"/>
      <c r="R115" s="73"/>
      <c r="S115" s="73"/>
      <c r="T115" s="73"/>
      <c r="U115" s="74"/>
    </row>
    <row r="116" spans="2:21" s="15" customFormat="1" x14ac:dyDescent="0.25">
      <c r="B116" s="72" t="s">
        <v>3085</v>
      </c>
      <c r="C116" s="73"/>
      <c r="D116" s="73"/>
      <c r="E116" s="73"/>
      <c r="F116" s="73"/>
      <c r="G116" s="73"/>
      <c r="H116" s="73"/>
      <c r="I116" s="73"/>
      <c r="J116" s="73"/>
      <c r="K116" s="73"/>
      <c r="L116" s="73"/>
      <c r="M116" s="73"/>
      <c r="N116" s="73"/>
      <c r="O116" s="73"/>
      <c r="P116" s="73"/>
      <c r="Q116" s="73"/>
      <c r="R116" s="73"/>
      <c r="S116" s="73"/>
      <c r="T116" s="73"/>
      <c r="U116" s="74"/>
    </row>
    <row r="117" spans="2:21" s="15" customFormat="1" x14ac:dyDescent="0.25">
      <c r="B117" s="72" t="s">
        <v>3445</v>
      </c>
      <c r="C117" s="73"/>
      <c r="D117" s="73"/>
      <c r="E117" s="73"/>
      <c r="F117" s="73"/>
      <c r="G117" s="73"/>
      <c r="H117" s="73"/>
      <c r="I117" s="73"/>
      <c r="J117" s="73"/>
      <c r="K117" s="73"/>
      <c r="L117" s="73"/>
      <c r="M117" s="73"/>
      <c r="N117" s="73"/>
      <c r="O117" s="73"/>
      <c r="P117" s="73"/>
      <c r="Q117" s="73"/>
      <c r="R117" s="73"/>
      <c r="S117" s="73"/>
      <c r="T117" s="73"/>
      <c r="U117" s="74"/>
    </row>
    <row r="118" spans="2:21" s="15" customFormat="1" x14ac:dyDescent="0.25">
      <c r="B118" s="72" t="s">
        <v>3446</v>
      </c>
      <c r="C118" s="73"/>
      <c r="D118" s="73"/>
      <c r="E118" s="73"/>
      <c r="F118" s="73"/>
      <c r="G118" s="73"/>
      <c r="H118" s="73"/>
      <c r="I118" s="73"/>
      <c r="J118" s="73"/>
      <c r="K118" s="73"/>
      <c r="L118" s="73"/>
      <c r="M118" s="73"/>
      <c r="N118" s="73"/>
      <c r="O118" s="73"/>
      <c r="P118" s="73"/>
      <c r="Q118" s="73"/>
      <c r="R118" s="73"/>
      <c r="S118" s="73"/>
      <c r="T118" s="73"/>
      <c r="U118" s="74"/>
    </row>
    <row r="119" spans="2:21" s="15" customFormat="1" x14ac:dyDescent="0.25">
      <c r="B119" s="72" t="s">
        <v>3312</v>
      </c>
      <c r="C119" s="73"/>
      <c r="D119" s="73"/>
      <c r="E119" s="73"/>
      <c r="F119" s="73"/>
      <c r="G119" s="73"/>
      <c r="H119" s="73"/>
      <c r="I119" s="73"/>
      <c r="J119" s="73"/>
      <c r="K119" s="73"/>
      <c r="L119" s="73"/>
      <c r="M119" s="73"/>
      <c r="N119" s="73"/>
      <c r="O119" s="73"/>
      <c r="P119" s="73"/>
      <c r="Q119" s="73"/>
      <c r="R119" s="73"/>
      <c r="S119" s="73"/>
      <c r="T119" s="73"/>
      <c r="U119" s="74"/>
    </row>
    <row r="120" spans="2:21" s="15" customFormat="1" x14ac:dyDescent="0.25">
      <c r="B120" s="72" t="s">
        <v>3447</v>
      </c>
      <c r="C120" s="73"/>
      <c r="D120" s="73"/>
      <c r="E120" s="73"/>
      <c r="F120" s="73"/>
      <c r="G120" s="73"/>
      <c r="H120" s="73"/>
      <c r="I120" s="73"/>
      <c r="J120" s="73"/>
      <c r="K120" s="73"/>
      <c r="L120" s="73"/>
      <c r="M120" s="73"/>
      <c r="N120" s="73"/>
      <c r="O120" s="73"/>
      <c r="P120" s="73"/>
      <c r="Q120" s="73"/>
      <c r="R120" s="73"/>
      <c r="S120" s="73"/>
      <c r="T120" s="73"/>
      <c r="U120" s="74"/>
    </row>
    <row r="121" spans="2:21" s="15" customFormat="1" x14ac:dyDescent="0.25">
      <c r="B121" s="72" t="s">
        <v>3083</v>
      </c>
      <c r="C121" s="73"/>
      <c r="D121" s="73"/>
      <c r="E121" s="73"/>
      <c r="F121" s="73"/>
      <c r="G121" s="73"/>
      <c r="H121" s="73"/>
      <c r="I121" s="73"/>
      <c r="J121" s="73"/>
      <c r="K121" s="73"/>
      <c r="L121" s="73"/>
      <c r="M121" s="73"/>
      <c r="N121" s="73"/>
      <c r="O121" s="73"/>
      <c r="P121" s="73"/>
      <c r="Q121" s="73"/>
      <c r="R121" s="73"/>
      <c r="S121" s="73"/>
      <c r="T121" s="73"/>
      <c r="U121" s="74"/>
    </row>
    <row r="122" spans="2:21" s="15" customFormat="1" x14ac:dyDescent="0.25">
      <c r="B122" s="72" t="s">
        <v>3093</v>
      </c>
      <c r="C122" s="73"/>
      <c r="D122" s="73"/>
      <c r="E122" s="73"/>
      <c r="F122" s="73"/>
      <c r="G122" s="73"/>
      <c r="H122" s="73"/>
      <c r="I122" s="73"/>
      <c r="J122" s="73"/>
      <c r="K122" s="73"/>
      <c r="L122" s="73"/>
      <c r="M122" s="73"/>
      <c r="N122" s="73"/>
      <c r="O122" s="73"/>
      <c r="P122" s="73"/>
      <c r="Q122" s="73"/>
      <c r="R122" s="73"/>
      <c r="S122" s="73"/>
      <c r="T122" s="73"/>
      <c r="U122" s="74"/>
    </row>
    <row r="123" spans="2:21" s="15" customFormat="1" x14ac:dyDescent="0.25">
      <c r="B123" s="72" t="s">
        <v>3199</v>
      </c>
      <c r="C123" s="73"/>
      <c r="D123" s="73"/>
      <c r="E123" s="73"/>
      <c r="F123" s="73"/>
      <c r="G123" s="73"/>
      <c r="H123" s="73"/>
      <c r="I123" s="73"/>
      <c r="J123" s="73"/>
      <c r="K123" s="73"/>
      <c r="L123" s="73"/>
      <c r="M123" s="73"/>
      <c r="N123" s="73"/>
      <c r="O123" s="73"/>
      <c r="P123" s="73"/>
      <c r="Q123" s="73"/>
      <c r="R123" s="73"/>
      <c r="S123" s="73"/>
      <c r="T123" s="73"/>
      <c r="U123" s="74"/>
    </row>
    <row r="124" spans="2:21" s="15" customFormat="1" x14ac:dyDescent="0.25">
      <c r="B124" s="72" t="s">
        <v>3085</v>
      </c>
      <c r="C124" s="73"/>
      <c r="D124" s="73"/>
      <c r="E124" s="73"/>
      <c r="F124" s="73"/>
      <c r="G124" s="73"/>
      <c r="H124" s="73"/>
      <c r="I124" s="73"/>
      <c r="J124" s="73"/>
      <c r="K124" s="73"/>
      <c r="L124" s="73"/>
      <c r="M124" s="73"/>
      <c r="N124" s="73"/>
      <c r="O124" s="73"/>
      <c r="P124" s="73"/>
      <c r="Q124" s="73"/>
      <c r="R124" s="73"/>
      <c r="S124" s="73"/>
      <c r="T124" s="73"/>
      <c r="U124" s="74"/>
    </row>
    <row r="125" spans="2:21" s="15" customFormat="1" x14ac:dyDescent="0.25">
      <c r="B125" s="72" t="s">
        <v>3200</v>
      </c>
      <c r="C125" s="73"/>
      <c r="D125" s="73"/>
      <c r="E125" s="73"/>
      <c r="F125" s="73"/>
      <c r="G125" s="73"/>
      <c r="H125" s="73"/>
      <c r="I125" s="73"/>
      <c r="J125" s="73"/>
      <c r="K125" s="73"/>
      <c r="L125" s="73"/>
      <c r="M125" s="73"/>
      <c r="N125" s="73"/>
      <c r="O125" s="73"/>
      <c r="P125" s="73"/>
      <c r="Q125" s="73"/>
      <c r="R125" s="73"/>
      <c r="S125" s="73"/>
      <c r="T125" s="73"/>
      <c r="U125" s="74"/>
    </row>
    <row r="126" spans="2:21" s="15" customFormat="1" x14ac:dyDescent="0.25">
      <c r="B126" s="72" t="s">
        <v>3448</v>
      </c>
      <c r="C126" s="73"/>
      <c r="D126" s="73"/>
      <c r="E126" s="73"/>
      <c r="F126" s="73"/>
      <c r="G126" s="73"/>
      <c r="H126" s="73"/>
      <c r="I126" s="73"/>
      <c r="J126" s="73"/>
      <c r="K126" s="73"/>
      <c r="L126" s="73"/>
      <c r="M126" s="73"/>
      <c r="N126" s="73"/>
      <c r="O126" s="73"/>
      <c r="P126" s="73"/>
      <c r="Q126" s="73"/>
      <c r="R126" s="73"/>
      <c r="S126" s="73"/>
      <c r="T126" s="73"/>
      <c r="U126" s="74"/>
    </row>
    <row r="127" spans="2:21" s="15" customFormat="1" x14ac:dyDescent="0.25">
      <c r="B127" s="72" t="s">
        <v>3181</v>
      </c>
      <c r="C127" s="73"/>
      <c r="D127" s="73"/>
      <c r="E127" s="73"/>
      <c r="F127" s="73"/>
      <c r="G127" s="73"/>
      <c r="H127" s="73"/>
      <c r="I127" s="73"/>
      <c r="J127" s="73"/>
      <c r="K127" s="73"/>
      <c r="L127" s="73"/>
      <c r="M127" s="73"/>
      <c r="N127" s="73"/>
      <c r="O127" s="73"/>
      <c r="P127" s="73"/>
      <c r="Q127" s="73"/>
      <c r="R127" s="73"/>
      <c r="S127" s="73"/>
      <c r="T127" s="73"/>
      <c r="U127" s="74"/>
    </row>
    <row r="128" spans="2:21" s="15" customFormat="1" x14ac:dyDescent="0.25">
      <c r="B128" s="72" t="s">
        <v>3085</v>
      </c>
      <c r="C128" s="73"/>
      <c r="D128" s="73"/>
      <c r="E128" s="73"/>
      <c r="F128" s="73"/>
      <c r="G128" s="73"/>
      <c r="H128" s="73"/>
      <c r="I128" s="73"/>
      <c r="J128" s="73"/>
      <c r="K128" s="73"/>
      <c r="L128" s="73"/>
      <c r="M128" s="73"/>
      <c r="N128" s="73"/>
      <c r="O128" s="73"/>
      <c r="P128" s="73"/>
      <c r="Q128" s="73"/>
      <c r="R128" s="73"/>
      <c r="S128" s="73"/>
      <c r="T128" s="73"/>
      <c r="U128" s="74"/>
    </row>
    <row r="129" spans="2:21" s="15" customFormat="1" x14ac:dyDescent="0.25">
      <c r="B129" s="72" t="s">
        <v>3319</v>
      </c>
      <c r="C129" s="73"/>
      <c r="D129" s="73"/>
      <c r="E129" s="73"/>
      <c r="F129" s="73"/>
      <c r="G129" s="73"/>
      <c r="H129" s="73"/>
      <c r="I129" s="73"/>
      <c r="J129" s="73"/>
      <c r="K129" s="73"/>
      <c r="L129" s="73"/>
      <c r="M129" s="73"/>
      <c r="N129" s="73"/>
      <c r="O129" s="73"/>
      <c r="P129" s="73"/>
      <c r="Q129" s="73"/>
      <c r="R129" s="73"/>
      <c r="S129" s="73"/>
      <c r="T129" s="73"/>
      <c r="U129" s="74"/>
    </row>
    <row r="130" spans="2:21" s="15" customFormat="1" x14ac:dyDescent="0.25">
      <c r="B130" s="72" t="s">
        <v>3449</v>
      </c>
      <c r="C130" s="73"/>
      <c r="D130" s="73"/>
      <c r="E130" s="73"/>
      <c r="F130" s="73"/>
      <c r="G130" s="73"/>
      <c r="H130" s="73"/>
      <c r="I130" s="73"/>
      <c r="J130" s="73"/>
      <c r="K130" s="73"/>
      <c r="L130" s="73"/>
      <c r="M130" s="73"/>
      <c r="N130" s="73"/>
      <c r="O130" s="73"/>
      <c r="P130" s="73"/>
      <c r="Q130" s="73"/>
      <c r="R130" s="73"/>
      <c r="S130" s="73"/>
      <c r="T130" s="73"/>
      <c r="U130" s="74"/>
    </row>
    <row r="131" spans="2:21" s="15" customFormat="1" x14ac:dyDescent="0.25">
      <c r="B131" s="72" t="s">
        <v>3083</v>
      </c>
      <c r="C131" s="73"/>
      <c r="D131" s="73"/>
      <c r="E131" s="73"/>
      <c r="F131" s="73"/>
      <c r="G131" s="73"/>
      <c r="H131" s="73"/>
      <c r="I131" s="73"/>
      <c r="J131" s="73"/>
      <c r="K131" s="73"/>
      <c r="L131" s="73"/>
      <c r="M131" s="73"/>
      <c r="N131" s="73"/>
      <c r="O131" s="73"/>
      <c r="P131" s="73"/>
      <c r="Q131" s="73"/>
      <c r="R131" s="73"/>
      <c r="S131" s="73"/>
      <c r="T131" s="73"/>
      <c r="U131" s="74"/>
    </row>
    <row r="132" spans="2:21" s="15" customFormat="1" x14ac:dyDescent="0.25">
      <c r="B132" s="72" t="s">
        <v>3208</v>
      </c>
      <c r="C132" s="73"/>
      <c r="D132" s="73"/>
      <c r="E132" s="73"/>
      <c r="F132" s="73"/>
      <c r="G132" s="73"/>
      <c r="H132" s="73"/>
      <c r="I132" s="73"/>
      <c r="J132" s="73"/>
      <c r="K132" s="73"/>
      <c r="L132" s="73"/>
      <c r="M132" s="73"/>
      <c r="N132" s="73"/>
      <c r="O132" s="73"/>
      <c r="P132" s="73"/>
      <c r="Q132" s="73"/>
      <c r="R132" s="73"/>
      <c r="S132" s="73"/>
      <c r="T132" s="73"/>
      <c r="U132" s="74"/>
    </row>
    <row r="133" spans="2:21" s="15" customFormat="1" x14ac:dyDescent="0.25">
      <c r="B133" s="72" t="s">
        <v>3322</v>
      </c>
      <c r="C133" s="73"/>
      <c r="D133" s="73"/>
      <c r="E133" s="73"/>
      <c r="F133" s="73"/>
      <c r="G133" s="73"/>
      <c r="H133" s="73"/>
      <c r="I133" s="73"/>
      <c r="J133" s="73"/>
      <c r="K133" s="73"/>
      <c r="L133" s="73"/>
      <c r="M133" s="73"/>
      <c r="N133" s="73"/>
      <c r="O133" s="73"/>
      <c r="P133" s="73"/>
      <c r="Q133" s="73"/>
      <c r="R133" s="73"/>
      <c r="S133" s="73"/>
      <c r="T133" s="73"/>
      <c r="U133" s="74"/>
    </row>
    <row r="134" spans="2:21" s="15" customFormat="1" x14ac:dyDescent="0.25">
      <c r="B134" s="72" t="s">
        <v>3050</v>
      </c>
      <c r="C134" s="73"/>
      <c r="D134" s="73"/>
      <c r="E134" s="73"/>
      <c r="F134" s="73"/>
      <c r="G134" s="73"/>
      <c r="H134" s="73"/>
      <c r="I134" s="73"/>
      <c r="J134" s="73"/>
      <c r="K134" s="73"/>
      <c r="L134" s="73"/>
      <c r="M134" s="73"/>
      <c r="N134" s="73"/>
      <c r="O134" s="73"/>
      <c r="P134" s="73"/>
      <c r="Q134" s="73"/>
      <c r="R134" s="73"/>
      <c r="S134" s="73"/>
      <c r="T134" s="73"/>
      <c r="U134" s="74"/>
    </row>
    <row r="135" spans="2:21" s="15" customFormat="1" x14ac:dyDescent="0.25">
      <c r="B135" s="72" t="s">
        <v>3051</v>
      </c>
      <c r="C135" s="73"/>
      <c r="D135" s="73"/>
      <c r="E135" s="73"/>
      <c r="F135" s="73"/>
      <c r="G135" s="73"/>
      <c r="H135" s="73"/>
      <c r="I135" s="73"/>
      <c r="J135" s="73"/>
      <c r="K135" s="73"/>
      <c r="L135" s="73"/>
      <c r="M135" s="73"/>
      <c r="N135" s="73"/>
      <c r="O135" s="73"/>
      <c r="P135" s="73"/>
      <c r="Q135" s="73"/>
      <c r="R135" s="73"/>
      <c r="S135" s="73"/>
      <c r="T135" s="73"/>
      <c r="U135" s="74"/>
    </row>
    <row r="136" spans="2:21" s="15" customFormat="1" x14ac:dyDescent="0.25">
      <c r="B136" s="72" t="s">
        <v>3052</v>
      </c>
      <c r="C136" s="73"/>
      <c r="D136" s="73"/>
      <c r="E136" s="73"/>
      <c r="F136" s="73"/>
      <c r="G136" s="73"/>
      <c r="H136" s="73"/>
      <c r="I136" s="73"/>
      <c r="J136" s="73"/>
      <c r="K136" s="73"/>
      <c r="L136" s="73"/>
      <c r="M136" s="73"/>
      <c r="N136" s="73"/>
      <c r="O136" s="73"/>
      <c r="P136" s="73"/>
      <c r="Q136" s="73"/>
      <c r="R136" s="73"/>
      <c r="S136" s="73"/>
      <c r="T136" s="73"/>
      <c r="U136" s="74"/>
    </row>
    <row r="137" spans="2:21" s="15" customFormat="1" x14ac:dyDescent="0.25">
      <c r="B137" s="72" t="s">
        <v>3418</v>
      </c>
      <c r="C137" s="73"/>
      <c r="D137" s="73"/>
      <c r="E137" s="73"/>
      <c r="F137" s="73"/>
      <c r="G137" s="73"/>
      <c r="H137" s="73"/>
      <c r="I137" s="73"/>
      <c r="J137" s="73"/>
      <c r="K137" s="73"/>
      <c r="L137" s="73"/>
      <c r="M137" s="73"/>
      <c r="N137" s="73"/>
      <c r="O137" s="73"/>
      <c r="P137" s="73"/>
      <c r="Q137" s="73"/>
      <c r="R137" s="73"/>
      <c r="S137" s="73"/>
      <c r="T137" s="73"/>
      <c r="U137" s="74"/>
    </row>
    <row r="138" spans="2:21" s="15" customFormat="1" x14ac:dyDescent="0.25">
      <c r="B138" s="72" t="s">
        <v>3054</v>
      </c>
      <c r="C138" s="73"/>
      <c r="D138" s="73"/>
      <c r="E138" s="73"/>
      <c r="F138" s="73"/>
      <c r="G138" s="73"/>
      <c r="H138" s="73"/>
      <c r="I138" s="73"/>
      <c r="J138" s="73"/>
      <c r="K138" s="73"/>
      <c r="L138" s="73"/>
      <c r="M138" s="73"/>
      <c r="N138" s="73"/>
      <c r="O138" s="73"/>
      <c r="P138" s="73"/>
      <c r="Q138" s="73"/>
      <c r="R138" s="73"/>
      <c r="S138" s="73"/>
      <c r="T138" s="73"/>
      <c r="U138" s="74"/>
    </row>
    <row r="139" spans="2:21" s="15" customFormat="1" x14ac:dyDescent="0.25">
      <c r="B139" s="72" t="s">
        <v>3419</v>
      </c>
      <c r="C139" s="73"/>
      <c r="D139" s="73"/>
      <c r="E139" s="73"/>
      <c r="F139" s="73"/>
      <c r="G139" s="73"/>
      <c r="H139" s="73"/>
      <c r="I139" s="73"/>
      <c r="J139" s="73"/>
      <c r="K139" s="73"/>
      <c r="L139" s="73"/>
      <c r="M139" s="73"/>
      <c r="N139" s="73"/>
      <c r="O139" s="73"/>
      <c r="P139" s="73"/>
      <c r="Q139" s="73"/>
      <c r="R139" s="73"/>
      <c r="S139" s="73"/>
      <c r="T139" s="73"/>
      <c r="U139" s="74"/>
    </row>
    <row r="140" spans="2:21" s="15" customFormat="1" x14ac:dyDescent="0.25">
      <c r="B140" s="72" t="s">
        <v>3420</v>
      </c>
      <c r="C140" s="73"/>
      <c r="D140" s="73"/>
      <c r="E140" s="73"/>
      <c r="F140" s="73"/>
      <c r="G140" s="73"/>
      <c r="H140" s="73"/>
      <c r="I140" s="73"/>
      <c r="J140" s="73"/>
      <c r="K140" s="73"/>
      <c r="L140" s="73"/>
      <c r="M140" s="73"/>
      <c r="N140" s="73"/>
      <c r="O140" s="73"/>
      <c r="P140" s="73"/>
      <c r="Q140" s="73"/>
      <c r="R140" s="73"/>
      <c r="S140" s="73"/>
      <c r="T140" s="73"/>
      <c r="U140" s="74"/>
    </row>
    <row r="141" spans="2:21" s="15" customFormat="1" x14ac:dyDescent="0.25">
      <c r="B141" s="72" t="s">
        <v>3058</v>
      </c>
      <c r="C141" s="73"/>
      <c r="D141" s="73"/>
      <c r="E141" s="73"/>
      <c r="F141" s="73"/>
      <c r="G141" s="73"/>
      <c r="H141" s="73"/>
      <c r="I141" s="73"/>
      <c r="J141" s="73"/>
      <c r="K141" s="73"/>
      <c r="L141" s="73"/>
      <c r="M141" s="73"/>
      <c r="N141" s="73"/>
      <c r="O141" s="73"/>
      <c r="P141" s="73"/>
      <c r="Q141" s="73"/>
      <c r="R141" s="73"/>
      <c r="S141" s="73"/>
      <c r="T141" s="73"/>
      <c r="U141" s="74"/>
    </row>
    <row r="142" spans="2:21" s="15" customFormat="1" x14ac:dyDescent="0.25">
      <c r="B142" s="72" t="s">
        <v>3059</v>
      </c>
      <c r="C142" s="73"/>
      <c r="D142" s="73"/>
      <c r="E142" s="73"/>
      <c r="F142" s="73"/>
      <c r="G142" s="73"/>
      <c r="H142" s="73"/>
      <c r="I142" s="73"/>
      <c r="J142" s="73"/>
      <c r="K142" s="73"/>
      <c r="L142" s="73"/>
      <c r="M142" s="73"/>
      <c r="N142" s="73"/>
      <c r="O142" s="73"/>
      <c r="P142" s="73"/>
      <c r="Q142" s="73"/>
      <c r="R142" s="73"/>
      <c r="S142" s="73"/>
      <c r="T142" s="73"/>
      <c r="U142" s="74"/>
    </row>
    <row r="143" spans="2:21" s="15" customFormat="1" x14ac:dyDescent="0.25">
      <c r="B143" s="72" t="s">
        <v>3450</v>
      </c>
      <c r="C143" s="73"/>
      <c r="D143" s="73"/>
      <c r="E143" s="73"/>
      <c r="F143" s="73"/>
      <c r="G143" s="73"/>
      <c r="H143" s="73"/>
      <c r="I143" s="73"/>
      <c r="J143" s="73"/>
      <c r="K143" s="73"/>
      <c r="L143" s="73"/>
      <c r="M143" s="73"/>
      <c r="N143" s="73"/>
      <c r="O143" s="73"/>
      <c r="P143" s="73"/>
      <c r="Q143" s="73"/>
      <c r="R143" s="73"/>
      <c r="S143" s="73"/>
      <c r="T143" s="73"/>
      <c r="U143" s="74"/>
    </row>
    <row r="144" spans="2:21" s="15" customFormat="1" x14ac:dyDescent="0.25">
      <c r="B144" s="72" t="s">
        <v>3451</v>
      </c>
      <c r="C144" s="73"/>
      <c r="D144" s="73"/>
      <c r="E144" s="73"/>
      <c r="F144" s="73"/>
      <c r="G144" s="73"/>
      <c r="H144" s="73"/>
      <c r="I144" s="73"/>
      <c r="J144" s="73"/>
      <c r="K144" s="73"/>
      <c r="L144" s="73"/>
      <c r="M144" s="73"/>
      <c r="N144" s="73"/>
      <c r="O144" s="73"/>
      <c r="P144" s="73"/>
      <c r="Q144" s="73"/>
      <c r="R144" s="73"/>
      <c r="S144" s="73"/>
      <c r="T144" s="73"/>
      <c r="U144" s="74"/>
    </row>
    <row r="145" spans="2:21" s="15" customFormat="1" x14ac:dyDescent="0.25">
      <c r="B145" s="72" t="s">
        <v>3452</v>
      </c>
      <c r="C145" s="73"/>
      <c r="D145" s="73"/>
      <c r="E145" s="73"/>
      <c r="F145" s="73"/>
      <c r="G145" s="73"/>
      <c r="H145" s="73"/>
      <c r="I145" s="73"/>
      <c r="J145" s="73"/>
      <c r="K145" s="73"/>
      <c r="L145" s="73"/>
      <c r="M145" s="73"/>
      <c r="N145" s="73"/>
      <c r="O145" s="73"/>
      <c r="P145" s="73"/>
      <c r="Q145" s="73"/>
      <c r="R145" s="73"/>
      <c r="S145" s="73"/>
      <c r="T145" s="73"/>
      <c r="U145" s="74"/>
    </row>
    <row r="146" spans="2:21" s="15" customFormat="1" x14ac:dyDescent="0.25">
      <c r="B146" s="72" t="s">
        <v>3221</v>
      </c>
      <c r="C146" s="73"/>
      <c r="D146" s="73"/>
      <c r="E146" s="73"/>
      <c r="F146" s="73"/>
      <c r="G146" s="73"/>
      <c r="H146" s="73"/>
      <c r="I146" s="73"/>
      <c r="J146" s="73"/>
      <c r="K146" s="73"/>
      <c r="L146" s="73"/>
      <c r="M146" s="73"/>
      <c r="N146" s="73"/>
      <c r="O146" s="73"/>
      <c r="P146" s="73"/>
      <c r="Q146" s="73"/>
      <c r="R146" s="73"/>
      <c r="S146" s="73"/>
      <c r="T146" s="73"/>
      <c r="U146" s="74"/>
    </row>
    <row r="147" spans="2:21" s="15" customFormat="1" x14ac:dyDescent="0.25">
      <c r="B147" s="72" t="s">
        <v>3062</v>
      </c>
      <c r="C147" s="73"/>
      <c r="D147" s="73"/>
      <c r="E147" s="73"/>
      <c r="F147" s="73"/>
      <c r="G147" s="73"/>
      <c r="H147" s="73"/>
      <c r="I147" s="73"/>
      <c r="J147" s="73"/>
      <c r="K147" s="73"/>
      <c r="L147" s="73"/>
      <c r="M147" s="73"/>
      <c r="N147" s="73"/>
      <c r="O147" s="73"/>
      <c r="P147" s="73"/>
      <c r="Q147" s="73"/>
      <c r="R147" s="73"/>
      <c r="S147" s="73"/>
      <c r="T147" s="73"/>
      <c r="U147" s="74"/>
    </row>
    <row r="148" spans="2:21" s="15" customFormat="1" x14ac:dyDescent="0.25">
      <c r="B148" s="72" t="s">
        <v>3063</v>
      </c>
      <c r="C148" s="73"/>
      <c r="D148" s="73"/>
      <c r="E148" s="73"/>
      <c r="F148" s="73"/>
      <c r="G148" s="73"/>
      <c r="H148" s="73"/>
      <c r="I148" s="73"/>
      <c r="J148" s="73"/>
      <c r="K148" s="73"/>
      <c r="L148" s="73"/>
      <c r="M148" s="73"/>
      <c r="N148" s="73"/>
      <c r="O148" s="73"/>
      <c r="P148" s="73"/>
      <c r="Q148" s="73"/>
      <c r="R148" s="73"/>
      <c r="S148" s="73"/>
      <c r="T148" s="73"/>
      <c r="U148" s="74"/>
    </row>
    <row r="149" spans="2:21" s="15" customFormat="1" x14ac:dyDescent="0.25">
      <c r="B149" s="72" t="s">
        <v>3424</v>
      </c>
      <c r="C149" s="73"/>
      <c r="D149" s="73"/>
      <c r="E149" s="73"/>
      <c r="F149" s="73"/>
      <c r="G149" s="73"/>
      <c r="H149" s="73"/>
      <c r="I149" s="73"/>
      <c r="J149" s="73"/>
      <c r="K149" s="73"/>
      <c r="L149" s="73"/>
      <c r="M149" s="73"/>
      <c r="N149" s="73"/>
      <c r="O149" s="73"/>
      <c r="P149" s="73"/>
      <c r="Q149" s="73"/>
      <c r="R149" s="73"/>
      <c r="S149" s="73"/>
      <c r="T149" s="73"/>
      <c r="U149" s="74"/>
    </row>
    <row r="150" spans="2:21" s="15" customFormat="1" x14ac:dyDescent="0.25">
      <c r="B150" s="72" t="s">
        <v>3223</v>
      </c>
      <c r="C150" s="73"/>
      <c r="D150" s="73"/>
      <c r="E150" s="73"/>
      <c r="F150" s="73"/>
      <c r="G150" s="73"/>
      <c r="H150" s="73"/>
      <c r="I150" s="73"/>
      <c r="J150" s="73"/>
      <c r="K150" s="73"/>
      <c r="L150" s="73"/>
      <c r="M150" s="73"/>
      <c r="N150" s="73"/>
      <c r="O150" s="73"/>
      <c r="P150" s="73"/>
      <c r="Q150" s="73"/>
      <c r="R150" s="73"/>
      <c r="S150" s="73"/>
      <c r="T150" s="73"/>
      <c r="U150" s="74"/>
    </row>
    <row r="151" spans="2:21" s="15" customFormat="1" x14ac:dyDescent="0.25">
      <c r="B151" s="72" t="s">
        <v>3067</v>
      </c>
      <c r="C151" s="73"/>
      <c r="D151" s="73"/>
      <c r="E151" s="73"/>
      <c r="F151" s="73"/>
      <c r="G151" s="73"/>
      <c r="H151" s="73"/>
      <c r="I151" s="73"/>
      <c r="J151" s="73"/>
      <c r="K151" s="73"/>
      <c r="L151" s="73"/>
      <c r="M151" s="73"/>
      <c r="N151" s="73"/>
      <c r="O151" s="73"/>
      <c r="P151" s="73"/>
      <c r="Q151" s="73"/>
      <c r="R151" s="73"/>
      <c r="S151" s="73"/>
      <c r="T151" s="73"/>
      <c r="U151" s="74"/>
    </row>
    <row r="152" spans="2:21" s="15" customFormat="1" x14ac:dyDescent="0.25">
      <c r="B152" s="72" t="s">
        <v>3453</v>
      </c>
      <c r="C152" s="73"/>
      <c r="D152" s="73"/>
      <c r="E152" s="73"/>
      <c r="F152" s="73"/>
      <c r="G152" s="73"/>
      <c r="H152" s="73"/>
      <c r="I152" s="73"/>
      <c r="J152" s="73"/>
      <c r="K152" s="73"/>
      <c r="L152" s="73"/>
      <c r="M152" s="73"/>
      <c r="N152" s="73"/>
      <c r="O152" s="73"/>
      <c r="P152" s="73"/>
      <c r="Q152" s="73"/>
      <c r="R152" s="73"/>
      <c r="S152" s="73"/>
      <c r="T152" s="73"/>
      <c r="U152" s="74"/>
    </row>
    <row r="153" spans="2:21" s="15" customFormat="1" x14ac:dyDescent="0.25">
      <c r="B153" s="72" t="s">
        <v>3454</v>
      </c>
      <c r="C153" s="73"/>
      <c r="D153" s="73"/>
      <c r="E153" s="73"/>
      <c r="F153" s="73"/>
      <c r="G153" s="73"/>
      <c r="H153" s="73"/>
      <c r="I153" s="73"/>
      <c r="J153" s="73"/>
      <c r="K153" s="73"/>
      <c r="L153" s="73"/>
      <c r="M153" s="73"/>
      <c r="N153" s="73"/>
      <c r="O153" s="73"/>
      <c r="P153" s="73"/>
      <c r="Q153" s="73"/>
      <c r="R153" s="73"/>
      <c r="S153" s="73"/>
      <c r="T153" s="73"/>
      <c r="U153" s="74"/>
    </row>
    <row r="154" spans="2:21" s="15" customFormat="1" x14ac:dyDescent="0.25">
      <c r="B154" s="72" t="s">
        <v>3426</v>
      </c>
      <c r="C154" s="73"/>
      <c r="D154" s="73"/>
      <c r="E154" s="73"/>
      <c r="F154" s="73"/>
      <c r="G154" s="73"/>
      <c r="H154" s="73"/>
      <c r="I154" s="73"/>
      <c r="J154" s="73"/>
      <c r="K154" s="73"/>
      <c r="L154" s="73"/>
      <c r="M154" s="73"/>
      <c r="N154" s="73"/>
      <c r="O154" s="73"/>
      <c r="P154" s="73"/>
      <c r="Q154" s="73"/>
      <c r="R154" s="73"/>
      <c r="S154" s="73"/>
      <c r="T154" s="73"/>
      <c r="U154" s="74"/>
    </row>
    <row r="155" spans="2:21" s="15" customFormat="1" x14ac:dyDescent="0.25">
      <c r="B155" s="72" t="s">
        <v>3427</v>
      </c>
      <c r="C155" s="73"/>
      <c r="D155" s="73"/>
      <c r="E155" s="73"/>
      <c r="F155" s="73"/>
      <c r="G155" s="73"/>
      <c r="H155" s="73"/>
      <c r="I155" s="73"/>
      <c r="J155" s="73"/>
      <c r="K155" s="73"/>
      <c r="L155" s="73"/>
      <c r="M155" s="73"/>
      <c r="N155" s="73"/>
      <c r="O155" s="73"/>
      <c r="P155" s="73"/>
      <c r="Q155" s="73"/>
      <c r="R155" s="73"/>
      <c r="S155" s="73"/>
      <c r="T155" s="73"/>
      <c r="U155" s="74"/>
    </row>
    <row r="156" spans="2:21" s="15" customFormat="1" x14ac:dyDescent="0.25">
      <c r="B156" s="72" t="s">
        <v>3071</v>
      </c>
      <c r="C156" s="73"/>
      <c r="D156" s="73"/>
      <c r="E156" s="73"/>
      <c r="F156" s="73"/>
      <c r="G156" s="73"/>
      <c r="H156" s="73"/>
      <c r="I156" s="73"/>
      <c r="J156" s="73"/>
      <c r="K156" s="73"/>
      <c r="L156" s="73"/>
      <c r="M156" s="73"/>
      <c r="N156" s="73"/>
      <c r="O156" s="73"/>
      <c r="P156" s="73"/>
      <c r="Q156" s="73"/>
      <c r="R156" s="73"/>
      <c r="S156" s="73"/>
      <c r="T156" s="73"/>
      <c r="U156" s="74"/>
    </row>
    <row r="157" spans="2:21" s="15" customFormat="1" x14ac:dyDescent="0.25">
      <c r="B157" s="72" t="s">
        <v>3072</v>
      </c>
      <c r="C157" s="73"/>
      <c r="D157" s="73"/>
      <c r="E157" s="73"/>
      <c r="F157" s="73"/>
      <c r="G157" s="73"/>
      <c r="H157" s="73"/>
      <c r="I157" s="73"/>
      <c r="J157" s="73"/>
      <c r="K157" s="73"/>
      <c r="L157" s="73"/>
      <c r="M157" s="73"/>
      <c r="N157" s="73"/>
      <c r="O157" s="73"/>
      <c r="P157" s="73"/>
      <c r="Q157" s="73"/>
      <c r="R157" s="73"/>
      <c r="S157" s="73"/>
      <c r="T157" s="73"/>
      <c r="U157" s="74"/>
    </row>
    <row r="158" spans="2:21" s="15" customFormat="1" x14ac:dyDescent="0.25">
      <c r="B158" s="72" t="s">
        <v>3455</v>
      </c>
      <c r="C158" s="73"/>
      <c r="D158" s="73"/>
      <c r="E158" s="73"/>
      <c r="F158" s="73"/>
      <c r="G158" s="73"/>
      <c r="H158" s="73"/>
      <c r="I158" s="73"/>
      <c r="J158" s="73"/>
      <c r="K158" s="73"/>
      <c r="L158" s="73"/>
      <c r="M158" s="73"/>
      <c r="N158" s="73"/>
      <c r="O158" s="73"/>
      <c r="P158" s="73"/>
      <c r="Q158" s="73"/>
      <c r="R158" s="73"/>
      <c r="S158" s="73"/>
      <c r="T158" s="73"/>
      <c r="U158" s="74"/>
    </row>
    <row r="159" spans="2:21" s="15" customFormat="1" x14ac:dyDescent="0.25">
      <c r="B159" s="72" t="s">
        <v>3074</v>
      </c>
      <c r="C159" s="73"/>
      <c r="D159" s="73"/>
      <c r="E159" s="73"/>
      <c r="F159" s="73"/>
      <c r="G159" s="73"/>
      <c r="H159" s="73"/>
      <c r="I159" s="73"/>
      <c r="J159" s="73"/>
      <c r="K159" s="73"/>
      <c r="L159" s="73"/>
      <c r="M159" s="73"/>
      <c r="N159" s="73"/>
      <c r="O159" s="73"/>
      <c r="P159" s="73"/>
      <c r="Q159" s="73"/>
      <c r="R159" s="73"/>
      <c r="S159" s="73"/>
      <c r="T159" s="73"/>
      <c r="U159" s="74"/>
    </row>
    <row r="160" spans="2:21" s="15" customFormat="1" x14ac:dyDescent="0.25">
      <c r="B160" s="72" t="s">
        <v>3075</v>
      </c>
      <c r="C160" s="73"/>
      <c r="D160" s="73"/>
      <c r="E160" s="73"/>
      <c r="F160" s="73"/>
      <c r="G160" s="73"/>
      <c r="H160" s="73"/>
      <c r="I160" s="73"/>
      <c r="J160" s="73"/>
      <c r="K160" s="73"/>
      <c r="L160" s="73"/>
      <c r="M160" s="73"/>
      <c r="N160" s="73"/>
      <c r="O160" s="73"/>
      <c r="P160" s="73"/>
      <c r="Q160" s="73"/>
      <c r="R160" s="73"/>
      <c r="S160" s="73"/>
      <c r="T160" s="73"/>
      <c r="U160" s="74"/>
    </row>
    <row r="161" spans="2:21" s="15" customFormat="1" x14ac:dyDescent="0.25">
      <c r="B161" s="72" t="s">
        <v>3076</v>
      </c>
      <c r="C161" s="73"/>
      <c r="D161" s="73"/>
      <c r="E161" s="73"/>
      <c r="F161" s="73"/>
      <c r="G161" s="73"/>
      <c r="H161" s="73"/>
      <c r="I161" s="73"/>
      <c r="J161" s="73"/>
      <c r="K161" s="73"/>
      <c r="L161" s="73"/>
      <c r="M161" s="73"/>
      <c r="N161" s="73"/>
      <c r="O161" s="73"/>
      <c r="P161" s="73"/>
      <c r="Q161" s="73"/>
      <c r="R161" s="73"/>
      <c r="S161" s="73"/>
      <c r="T161" s="73"/>
      <c r="U161" s="74"/>
    </row>
    <row r="162" spans="2:21" s="15" customFormat="1" x14ac:dyDescent="0.25">
      <c r="B162" s="72" t="s">
        <v>3077</v>
      </c>
      <c r="C162" s="73"/>
      <c r="D162" s="73"/>
      <c r="E162" s="73"/>
      <c r="F162" s="73"/>
      <c r="G162" s="73"/>
      <c r="H162" s="73"/>
      <c r="I162" s="73"/>
      <c r="J162" s="73"/>
      <c r="K162" s="73"/>
      <c r="L162" s="73"/>
      <c r="M162" s="73"/>
      <c r="N162" s="73"/>
      <c r="O162" s="73"/>
      <c r="P162" s="73"/>
      <c r="Q162" s="73"/>
      <c r="R162" s="73"/>
      <c r="S162" s="73"/>
      <c r="T162" s="73"/>
      <c r="U162" s="74"/>
    </row>
    <row r="163" spans="2:21" s="15" customFormat="1" x14ac:dyDescent="0.25">
      <c r="B163" s="72" t="s">
        <v>3228</v>
      </c>
      <c r="C163" s="73"/>
      <c r="D163" s="73"/>
      <c r="E163" s="73"/>
      <c r="F163" s="73"/>
      <c r="G163" s="73"/>
      <c r="H163" s="73"/>
      <c r="I163" s="73"/>
      <c r="J163" s="73"/>
      <c r="K163" s="73"/>
      <c r="L163" s="73"/>
      <c r="M163" s="73"/>
      <c r="N163" s="73"/>
      <c r="O163" s="73"/>
      <c r="P163" s="73"/>
      <c r="Q163" s="73"/>
      <c r="R163" s="73"/>
      <c r="S163" s="73"/>
      <c r="T163" s="73"/>
      <c r="U163" s="74"/>
    </row>
    <row r="164" spans="2:21" s="15" customFormat="1" x14ac:dyDescent="0.25">
      <c r="B164" s="72" t="s">
        <v>3079</v>
      </c>
      <c r="C164" s="73"/>
      <c r="D164" s="73"/>
      <c r="E164" s="73"/>
      <c r="F164" s="73"/>
      <c r="G164" s="73"/>
      <c r="H164" s="73"/>
      <c r="I164" s="73"/>
      <c r="J164" s="73"/>
      <c r="K164" s="73"/>
      <c r="L164" s="73"/>
      <c r="M164" s="73"/>
      <c r="N164" s="73"/>
      <c r="O164" s="73"/>
      <c r="P164" s="73"/>
      <c r="Q164" s="73"/>
      <c r="R164" s="73"/>
      <c r="S164" s="73"/>
      <c r="T164" s="73"/>
      <c r="U164" s="74"/>
    </row>
    <row r="165" spans="2:21" s="15" customFormat="1" x14ac:dyDescent="0.25">
      <c r="B165" s="72" t="s">
        <v>3080</v>
      </c>
      <c r="C165" s="73"/>
      <c r="D165" s="73"/>
      <c r="E165" s="73"/>
      <c r="F165" s="73"/>
      <c r="G165" s="73"/>
      <c r="H165" s="73"/>
      <c r="I165" s="73"/>
      <c r="J165" s="73"/>
      <c r="K165" s="73"/>
      <c r="L165" s="73"/>
      <c r="M165" s="73"/>
      <c r="N165" s="73"/>
      <c r="O165" s="73"/>
      <c r="P165" s="73"/>
      <c r="Q165" s="73"/>
      <c r="R165" s="73"/>
      <c r="S165" s="73"/>
      <c r="T165" s="73"/>
      <c r="U165" s="74"/>
    </row>
    <row r="166" spans="2:21" s="15" customFormat="1" x14ac:dyDescent="0.25">
      <c r="B166" s="72" t="s">
        <v>3081</v>
      </c>
      <c r="C166" s="73"/>
      <c r="D166" s="73"/>
      <c r="E166" s="73"/>
      <c r="F166" s="73"/>
      <c r="G166" s="73"/>
      <c r="H166" s="73"/>
      <c r="I166" s="73"/>
      <c r="J166" s="73"/>
      <c r="K166" s="73"/>
      <c r="L166" s="73"/>
      <c r="M166" s="73"/>
      <c r="N166" s="73"/>
      <c r="O166" s="73"/>
      <c r="P166" s="73"/>
      <c r="Q166" s="73"/>
      <c r="R166" s="73"/>
      <c r="S166" s="73"/>
      <c r="T166" s="73"/>
      <c r="U166" s="74"/>
    </row>
    <row r="167" spans="2:21" s="15" customFormat="1" x14ac:dyDescent="0.25">
      <c r="B167" s="72" t="s">
        <v>3082</v>
      </c>
      <c r="C167" s="73"/>
      <c r="D167" s="73"/>
      <c r="E167" s="73"/>
      <c r="F167" s="73"/>
      <c r="G167" s="73"/>
      <c r="H167" s="73"/>
      <c r="I167" s="73"/>
      <c r="J167" s="73"/>
      <c r="K167" s="73"/>
      <c r="L167" s="73"/>
      <c r="M167" s="73"/>
      <c r="N167" s="73"/>
      <c r="O167" s="73"/>
      <c r="P167" s="73"/>
      <c r="Q167" s="73"/>
      <c r="R167" s="73"/>
      <c r="S167" s="73"/>
      <c r="T167" s="73"/>
      <c r="U167" s="74"/>
    </row>
    <row r="168" spans="2:21" s="15" customFormat="1" x14ac:dyDescent="0.25">
      <c r="B168" s="72" t="s">
        <v>3083</v>
      </c>
      <c r="C168" s="73"/>
      <c r="D168" s="73"/>
      <c r="E168" s="73"/>
      <c r="F168" s="73"/>
      <c r="G168" s="73"/>
      <c r="H168" s="73"/>
      <c r="I168" s="73"/>
      <c r="J168" s="73"/>
      <c r="K168" s="73"/>
      <c r="L168" s="73"/>
      <c r="M168" s="73"/>
      <c r="N168" s="73"/>
      <c r="O168" s="73"/>
      <c r="P168" s="73"/>
      <c r="Q168" s="73"/>
      <c r="R168" s="73"/>
      <c r="S168" s="73"/>
      <c r="T168" s="73"/>
      <c r="U168" s="74"/>
    </row>
    <row r="169" spans="2:21" s="15" customFormat="1" x14ac:dyDescent="0.25">
      <c r="B169" s="72" t="s">
        <v>3058</v>
      </c>
      <c r="C169" s="73"/>
      <c r="D169" s="73"/>
      <c r="E169" s="73"/>
      <c r="F169" s="73"/>
      <c r="G169" s="73"/>
      <c r="H169" s="73"/>
      <c r="I169" s="73"/>
      <c r="J169" s="73"/>
      <c r="K169" s="73"/>
      <c r="L169" s="73"/>
      <c r="M169" s="73"/>
      <c r="N169" s="73"/>
      <c r="O169" s="73"/>
      <c r="P169" s="73"/>
      <c r="Q169" s="73"/>
      <c r="R169" s="73"/>
      <c r="S169" s="73"/>
      <c r="T169" s="73"/>
      <c r="U169" s="74"/>
    </row>
    <row r="170" spans="2:21" s="15" customFormat="1" x14ac:dyDescent="0.25">
      <c r="B170" s="72" t="s">
        <v>3084</v>
      </c>
      <c r="C170" s="73"/>
      <c r="D170" s="73"/>
      <c r="E170" s="73"/>
      <c r="F170" s="73"/>
      <c r="G170" s="73"/>
      <c r="H170" s="73"/>
      <c r="I170" s="73"/>
      <c r="J170" s="73"/>
      <c r="K170" s="73"/>
      <c r="L170" s="73"/>
      <c r="M170" s="73"/>
      <c r="N170" s="73"/>
      <c r="O170" s="73"/>
      <c r="P170" s="73"/>
      <c r="Q170" s="73"/>
      <c r="R170" s="73"/>
      <c r="S170" s="73"/>
      <c r="T170" s="73"/>
      <c r="U170" s="74"/>
    </row>
    <row r="171" spans="2:21" s="15" customFormat="1" x14ac:dyDescent="0.25">
      <c r="B171" s="72" t="s">
        <v>3085</v>
      </c>
      <c r="C171" s="73"/>
      <c r="D171" s="73"/>
      <c r="E171" s="73"/>
      <c r="F171" s="73"/>
      <c r="G171" s="73"/>
      <c r="H171" s="73"/>
      <c r="I171" s="73"/>
      <c r="J171" s="73"/>
      <c r="K171" s="73"/>
      <c r="L171" s="73"/>
      <c r="M171" s="73"/>
      <c r="N171" s="73"/>
      <c r="O171" s="73"/>
      <c r="P171" s="73"/>
      <c r="Q171" s="73"/>
      <c r="R171" s="73"/>
      <c r="S171" s="73"/>
      <c r="T171" s="73"/>
      <c r="U171" s="74"/>
    </row>
    <row r="172" spans="2:21" s="15" customFormat="1" x14ac:dyDescent="0.25">
      <c r="B172" s="72" t="s">
        <v>3334</v>
      </c>
      <c r="C172" s="73"/>
      <c r="D172" s="73"/>
      <c r="E172" s="73"/>
      <c r="F172" s="73"/>
      <c r="G172" s="73"/>
      <c r="H172" s="73"/>
      <c r="I172" s="73"/>
      <c r="J172" s="73"/>
      <c r="K172" s="73"/>
      <c r="L172" s="73"/>
      <c r="M172" s="73"/>
      <c r="N172" s="73"/>
      <c r="O172" s="73"/>
      <c r="P172" s="73"/>
      <c r="Q172" s="73"/>
      <c r="R172" s="73"/>
      <c r="S172" s="73"/>
      <c r="T172" s="73"/>
      <c r="U172" s="74"/>
    </row>
    <row r="173" spans="2:21" s="15" customFormat="1" x14ac:dyDescent="0.25">
      <c r="B173" s="72" t="s">
        <v>3456</v>
      </c>
      <c r="C173" s="73"/>
      <c r="D173" s="73"/>
      <c r="E173" s="73"/>
      <c r="F173" s="73"/>
      <c r="G173" s="73"/>
      <c r="H173" s="73"/>
      <c r="I173" s="73"/>
      <c r="J173" s="73"/>
      <c r="K173" s="73"/>
      <c r="L173" s="73"/>
      <c r="M173" s="73"/>
      <c r="N173" s="73"/>
      <c r="O173" s="73"/>
      <c r="P173" s="73"/>
      <c r="Q173" s="73"/>
      <c r="R173" s="73"/>
      <c r="S173" s="73"/>
      <c r="T173" s="73"/>
      <c r="U173" s="74"/>
    </row>
    <row r="174" spans="2:21" s="15" customFormat="1" x14ac:dyDescent="0.25">
      <c r="B174" s="72" t="s">
        <v>3083</v>
      </c>
      <c r="C174" s="73"/>
      <c r="D174" s="73"/>
      <c r="E174" s="73"/>
      <c r="F174" s="73"/>
      <c r="G174" s="73"/>
      <c r="H174" s="73"/>
      <c r="I174" s="73"/>
      <c r="J174" s="73"/>
      <c r="K174" s="73"/>
      <c r="L174" s="73"/>
      <c r="M174" s="73"/>
      <c r="N174" s="73"/>
      <c r="O174" s="73"/>
      <c r="P174" s="73"/>
      <c r="Q174" s="73"/>
      <c r="R174" s="73"/>
      <c r="S174" s="73"/>
      <c r="T174" s="73"/>
      <c r="U174" s="74"/>
    </row>
    <row r="175" spans="2:21" s="15" customFormat="1" x14ac:dyDescent="0.25">
      <c r="B175" s="72" t="s">
        <v>3093</v>
      </c>
      <c r="C175" s="73"/>
      <c r="D175" s="73"/>
      <c r="E175" s="73"/>
      <c r="F175" s="73"/>
      <c r="G175" s="73"/>
      <c r="H175" s="73"/>
      <c r="I175" s="73"/>
      <c r="J175" s="73"/>
      <c r="K175" s="73"/>
      <c r="L175" s="73"/>
      <c r="M175" s="73"/>
      <c r="N175" s="73"/>
      <c r="O175" s="73"/>
      <c r="P175" s="73"/>
      <c r="Q175" s="73"/>
      <c r="R175" s="73"/>
      <c r="S175" s="73"/>
      <c r="T175" s="73"/>
      <c r="U175" s="74"/>
    </row>
    <row r="176" spans="2:21" s="15" customFormat="1" x14ac:dyDescent="0.25">
      <c r="B176" s="72" t="s">
        <v>3430</v>
      </c>
      <c r="C176" s="73"/>
      <c r="D176" s="73"/>
      <c r="E176" s="73"/>
      <c r="F176" s="73"/>
      <c r="G176" s="73"/>
      <c r="H176" s="73"/>
      <c r="I176" s="73"/>
      <c r="J176" s="73"/>
      <c r="K176" s="73"/>
      <c r="L176" s="73"/>
      <c r="M176" s="73"/>
      <c r="N176" s="73"/>
      <c r="O176" s="73"/>
      <c r="P176" s="73"/>
      <c r="Q176" s="73"/>
      <c r="R176" s="73"/>
      <c r="S176" s="73"/>
      <c r="T176" s="73"/>
      <c r="U176" s="74"/>
    </row>
    <row r="177" spans="2:21" s="15" customFormat="1" x14ac:dyDescent="0.25">
      <c r="B177" s="72" t="s">
        <v>3431</v>
      </c>
      <c r="C177" s="73"/>
      <c r="D177" s="73"/>
      <c r="E177" s="73"/>
      <c r="F177" s="73"/>
      <c r="G177" s="73"/>
      <c r="H177" s="73"/>
      <c r="I177" s="73"/>
      <c r="J177" s="73"/>
      <c r="K177" s="73"/>
      <c r="L177" s="73"/>
      <c r="M177" s="73"/>
      <c r="N177" s="73"/>
      <c r="O177" s="73"/>
      <c r="P177" s="73"/>
      <c r="Q177" s="73"/>
      <c r="R177" s="73"/>
      <c r="S177" s="73"/>
      <c r="T177" s="73"/>
      <c r="U177" s="74"/>
    </row>
    <row r="178" spans="2:21" s="15" customFormat="1" x14ac:dyDescent="0.25">
      <c r="B178" s="72" t="s">
        <v>3432</v>
      </c>
      <c r="C178" s="73"/>
      <c r="D178" s="73"/>
      <c r="E178" s="73"/>
      <c r="F178" s="73"/>
      <c r="G178" s="73"/>
      <c r="H178" s="73"/>
      <c r="I178" s="73"/>
      <c r="J178" s="73"/>
      <c r="K178" s="73"/>
      <c r="L178" s="73"/>
      <c r="M178" s="73"/>
      <c r="N178" s="73"/>
      <c r="O178" s="73"/>
      <c r="P178" s="73"/>
      <c r="Q178" s="73"/>
      <c r="R178" s="73"/>
      <c r="S178" s="73"/>
      <c r="T178" s="73"/>
      <c r="U178" s="74"/>
    </row>
    <row r="179" spans="2:21" s="15" customFormat="1" x14ac:dyDescent="0.25">
      <c r="B179" s="72" t="s">
        <v>3433</v>
      </c>
      <c r="C179" s="73"/>
      <c r="D179" s="73"/>
      <c r="E179" s="73"/>
      <c r="F179" s="73"/>
      <c r="G179" s="73"/>
      <c r="H179" s="73"/>
      <c r="I179" s="73"/>
      <c r="J179" s="73"/>
      <c r="K179" s="73"/>
      <c r="L179" s="73"/>
      <c r="M179" s="73"/>
      <c r="N179" s="73"/>
      <c r="O179" s="73"/>
      <c r="P179" s="73"/>
      <c r="Q179" s="73"/>
      <c r="R179" s="73"/>
      <c r="S179" s="73"/>
      <c r="T179" s="73"/>
      <c r="U179" s="74"/>
    </row>
    <row r="180" spans="2:21" s="15" customFormat="1" x14ac:dyDescent="0.25">
      <c r="B180" s="72" t="s">
        <v>3434</v>
      </c>
      <c r="C180" s="73"/>
      <c r="D180" s="73"/>
      <c r="E180" s="73"/>
      <c r="F180" s="73"/>
      <c r="G180" s="73"/>
      <c r="H180" s="73"/>
      <c r="I180" s="73"/>
      <c r="J180" s="73"/>
      <c r="K180" s="73"/>
      <c r="L180" s="73"/>
      <c r="M180" s="73"/>
      <c r="N180" s="73"/>
      <c r="O180" s="73"/>
      <c r="P180" s="73"/>
      <c r="Q180" s="73"/>
      <c r="R180" s="73"/>
      <c r="S180" s="73"/>
      <c r="T180" s="73"/>
      <c r="U180" s="74"/>
    </row>
    <row r="181" spans="2:21" s="15" customFormat="1" x14ac:dyDescent="0.25">
      <c r="B181" s="72" t="s">
        <v>3457</v>
      </c>
      <c r="C181" s="73"/>
      <c r="D181" s="73"/>
      <c r="E181" s="73"/>
      <c r="F181" s="73"/>
      <c r="G181" s="73"/>
      <c r="H181" s="73"/>
      <c r="I181" s="73"/>
      <c r="J181" s="73"/>
      <c r="K181" s="73"/>
      <c r="L181" s="73"/>
      <c r="M181" s="73"/>
      <c r="N181" s="73"/>
      <c r="O181" s="73"/>
      <c r="P181" s="73"/>
      <c r="Q181" s="73"/>
      <c r="R181" s="73"/>
      <c r="S181" s="73"/>
      <c r="T181" s="73"/>
      <c r="U181" s="74"/>
    </row>
    <row r="182" spans="2:21" s="15" customFormat="1" x14ac:dyDescent="0.25">
      <c r="B182" s="72" t="s">
        <v>3436</v>
      </c>
      <c r="C182" s="73"/>
      <c r="D182" s="73"/>
      <c r="E182" s="73"/>
      <c r="F182" s="73"/>
      <c r="G182" s="73"/>
      <c r="H182" s="73"/>
      <c r="I182" s="73"/>
      <c r="J182" s="73"/>
      <c r="K182" s="73"/>
      <c r="L182" s="73"/>
      <c r="M182" s="73"/>
      <c r="N182" s="73"/>
      <c r="O182" s="73"/>
      <c r="P182" s="73"/>
      <c r="Q182" s="73"/>
      <c r="R182" s="73"/>
      <c r="S182" s="73"/>
      <c r="T182" s="73"/>
      <c r="U182" s="74"/>
    </row>
    <row r="183" spans="2:21" s="15" customFormat="1" x14ac:dyDescent="0.25">
      <c r="B183" s="72" t="s">
        <v>3437</v>
      </c>
      <c r="C183" s="73"/>
      <c r="D183" s="73"/>
      <c r="E183" s="73"/>
      <c r="F183" s="73"/>
      <c r="G183" s="73"/>
      <c r="H183" s="73"/>
      <c r="I183" s="73"/>
      <c r="J183" s="73"/>
      <c r="K183" s="73"/>
      <c r="L183" s="73"/>
      <c r="M183" s="73"/>
      <c r="N183" s="73"/>
      <c r="O183" s="73"/>
      <c r="P183" s="73"/>
      <c r="Q183" s="73"/>
      <c r="R183" s="73"/>
      <c r="S183" s="73"/>
      <c r="T183" s="73"/>
      <c r="U183" s="74"/>
    </row>
    <row r="184" spans="2:21" s="15" customFormat="1" x14ac:dyDescent="0.25">
      <c r="B184" s="72" t="s">
        <v>3458</v>
      </c>
      <c r="C184" s="73"/>
      <c r="D184" s="73"/>
      <c r="E184" s="73"/>
      <c r="F184" s="73"/>
      <c r="G184" s="73"/>
      <c r="H184" s="73"/>
      <c r="I184" s="73"/>
      <c r="J184" s="73"/>
      <c r="K184" s="73"/>
      <c r="L184" s="73"/>
      <c r="M184" s="73"/>
      <c r="N184" s="73"/>
      <c r="O184" s="73"/>
      <c r="P184" s="73"/>
      <c r="Q184" s="73"/>
      <c r="R184" s="73"/>
      <c r="S184" s="73"/>
      <c r="T184" s="73"/>
      <c r="U184" s="74"/>
    </row>
    <row r="185" spans="2:21" s="15" customFormat="1" x14ac:dyDescent="0.25">
      <c r="B185" s="72" t="s">
        <v>3459</v>
      </c>
      <c r="C185" s="73"/>
      <c r="D185" s="73"/>
      <c r="E185" s="73"/>
      <c r="F185" s="73"/>
      <c r="G185" s="73"/>
      <c r="H185" s="73"/>
      <c r="I185" s="73"/>
      <c r="J185" s="73"/>
      <c r="K185" s="73"/>
      <c r="L185" s="73"/>
      <c r="M185" s="73"/>
      <c r="N185" s="73"/>
      <c r="O185" s="73"/>
      <c r="P185" s="73"/>
      <c r="Q185" s="73"/>
      <c r="R185" s="73"/>
      <c r="S185" s="73"/>
      <c r="T185" s="73"/>
      <c r="U185" s="74"/>
    </row>
    <row r="186" spans="2:21" s="15" customFormat="1" x14ac:dyDescent="0.25">
      <c r="B186" s="72" t="s">
        <v>3460</v>
      </c>
      <c r="C186" s="73"/>
      <c r="D186" s="73"/>
      <c r="E186" s="73"/>
      <c r="F186" s="73"/>
      <c r="G186" s="73"/>
      <c r="H186" s="73"/>
      <c r="I186" s="73"/>
      <c r="J186" s="73"/>
      <c r="K186" s="73"/>
      <c r="L186" s="73"/>
      <c r="M186" s="73"/>
      <c r="N186" s="73"/>
      <c r="O186" s="73"/>
      <c r="P186" s="73"/>
      <c r="Q186" s="73"/>
      <c r="R186" s="73"/>
      <c r="S186" s="73"/>
      <c r="T186" s="73"/>
      <c r="U186" s="74"/>
    </row>
    <row r="187" spans="2:21" s="15" customFormat="1" x14ac:dyDescent="0.25">
      <c r="B187" s="72" t="s">
        <v>3461</v>
      </c>
      <c r="C187" s="73"/>
      <c r="D187" s="73"/>
      <c r="E187" s="73"/>
      <c r="F187" s="73"/>
      <c r="G187" s="73"/>
      <c r="H187" s="73"/>
      <c r="I187" s="73"/>
      <c r="J187" s="73"/>
      <c r="K187" s="73"/>
      <c r="L187" s="73"/>
      <c r="M187" s="73"/>
      <c r="N187" s="73"/>
      <c r="O187" s="73"/>
      <c r="P187" s="73"/>
      <c r="Q187" s="73"/>
      <c r="R187" s="73"/>
      <c r="S187" s="73"/>
      <c r="T187" s="73"/>
      <c r="U187" s="74"/>
    </row>
    <row r="188" spans="2:21" s="15" customFormat="1" x14ac:dyDescent="0.25">
      <c r="B188" s="72" t="s">
        <v>3440</v>
      </c>
      <c r="C188" s="73"/>
      <c r="D188" s="73"/>
      <c r="E188" s="73"/>
      <c r="F188" s="73"/>
      <c r="G188" s="73"/>
      <c r="H188" s="73"/>
      <c r="I188" s="73"/>
      <c r="J188" s="73"/>
      <c r="K188" s="73"/>
      <c r="L188" s="73"/>
      <c r="M188" s="73"/>
      <c r="N188" s="73"/>
      <c r="O188" s="73"/>
      <c r="P188" s="73"/>
      <c r="Q188" s="73"/>
      <c r="R188" s="73"/>
      <c r="S188" s="73"/>
      <c r="T188" s="73"/>
      <c r="U188" s="74"/>
    </row>
    <row r="189" spans="2:21" s="15" customFormat="1" x14ac:dyDescent="0.25">
      <c r="B189" s="72" t="s">
        <v>3462</v>
      </c>
      <c r="C189" s="73"/>
      <c r="D189" s="73"/>
      <c r="E189" s="73"/>
      <c r="F189" s="73"/>
      <c r="G189" s="73"/>
      <c r="H189" s="73"/>
      <c r="I189" s="73"/>
      <c r="J189" s="73"/>
      <c r="K189" s="73"/>
      <c r="L189" s="73"/>
      <c r="M189" s="73"/>
      <c r="N189" s="73"/>
      <c r="O189" s="73"/>
      <c r="P189" s="73"/>
      <c r="Q189" s="73"/>
      <c r="R189" s="73"/>
      <c r="S189" s="73"/>
      <c r="T189" s="73"/>
      <c r="U189" s="74"/>
    </row>
    <row r="190" spans="2:21" s="15" customFormat="1" x14ac:dyDescent="0.25">
      <c r="B190" s="72" t="s">
        <v>3058</v>
      </c>
      <c r="C190" s="73"/>
      <c r="D190" s="73"/>
      <c r="E190" s="73"/>
      <c r="F190" s="73"/>
      <c r="G190" s="73"/>
      <c r="H190" s="73"/>
      <c r="I190" s="73"/>
      <c r="J190" s="73"/>
      <c r="K190" s="73"/>
      <c r="L190" s="73"/>
      <c r="M190" s="73"/>
      <c r="N190" s="73"/>
      <c r="O190" s="73"/>
      <c r="P190" s="73"/>
      <c r="Q190" s="73"/>
      <c r="R190" s="73"/>
      <c r="S190" s="73"/>
      <c r="T190" s="73"/>
      <c r="U190" s="74"/>
    </row>
    <row r="191" spans="2:21" s="15" customFormat="1" x14ac:dyDescent="0.25">
      <c r="B191" s="72" t="s">
        <v>3162</v>
      </c>
      <c r="C191" s="73"/>
      <c r="D191" s="73"/>
      <c r="E191" s="73"/>
      <c r="F191" s="73"/>
      <c r="G191" s="73"/>
      <c r="H191" s="73"/>
      <c r="I191" s="73"/>
      <c r="J191" s="73"/>
      <c r="K191" s="73"/>
      <c r="L191" s="73"/>
      <c r="M191" s="73"/>
      <c r="N191" s="73"/>
      <c r="O191" s="73"/>
      <c r="P191" s="73"/>
      <c r="Q191" s="73"/>
      <c r="R191" s="73"/>
      <c r="S191" s="73"/>
      <c r="T191" s="73"/>
      <c r="U191" s="74"/>
    </row>
    <row r="192" spans="2:21" s="15" customFormat="1" x14ac:dyDescent="0.25">
      <c r="B192" s="72" t="s">
        <v>3085</v>
      </c>
      <c r="C192" s="73"/>
      <c r="D192" s="73"/>
      <c r="E192" s="73"/>
      <c r="F192" s="73"/>
      <c r="G192" s="73"/>
      <c r="H192" s="73"/>
      <c r="I192" s="73"/>
      <c r="J192" s="73"/>
      <c r="K192" s="73"/>
      <c r="L192" s="73"/>
      <c r="M192" s="73"/>
      <c r="N192" s="73"/>
      <c r="O192" s="73"/>
      <c r="P192" s="73"/>
      <c r="Q192" s="73"/>
      <c r="R192" s="73"/>
      <c r="S192" s="73"/>
      <c r="T192" s="73"/>
      <c r="U192" s="74"/>
    </row>
    <row r="193" spans="2:21" s="15" customFormat="1" x14ac:dyDescent="0.25">
      <c r="B193" s="72" t="s">
        <v>3463</v>
      </c>
      <c r="C193" s="73"/>
      <c r="D193" s="73"/>
      <c r="E193" s="73"/>
      <c r="F193" s="73"/>
      <c r="G193" s="73"/>
      <c r="H193" s="73"/>
      <c r="I193" s="73"/>
      <c r="J193" s="73"/>
      <c r="K193" s="73"/>
      <c r="L193" s="73"/>
      <c r="M193" s="73"/>
      <c r="N193" s="73"/>
      <c r="O193" s="73"/>
      <c r="P193" s="73"/>
      <c r="Q193" s="73"/>
      <c r="R193" s="73"/>
      <c r="S193" s="73"/>
      <c r="T193" s="73"/>
      <c r="U193" s="74"/>
    </row>
    <row r="194" spans="2:21" s="15" customFormat="1" x14ac:dyDescent="0.25">
      <c r="B194" s="72" t="s">
        <v>3464</v>
      </c>
      <c r="C194" s="73"/>
      <c r="D194" s="73"/>
      <c r="E194" s="73"/>
      <c r="F194" s="73"/>
      <c r="G194" s="73"/>
      <c r="H194" s="73"/>
      <c r="I194" s="73"/>
      <c r="J194" s="73"/>
      <c r="K194" s="73"/>
      <c r="L194" s="73"/>
      <c r="M194" s="73"/>
      <c r="N194" s="73"/>
      <c r="O194" s="73"/>
      <c r="P194" s="73"/>
      <c r="Q194" s="73"/>
      <c r="R194" s="73"/>
      <c r="S194" s="73"/>
      <c r="T194" s="73"/>
      <c r="U194" s="74"/>
    </row>
    <row r="195" spans="2:21" s="15" customFormat="1" x14ac:dyDescent="0.25">
      <c r="B195" s="72" t="s">
        <v>3083</v>
      </c>
      <c r="C195" s="73"/>
      <c r="D195" s="73"/>
      <c r="E195" s="73"/>
      <c r="F195" s="73"/>
      <c r="G195" s="73"/>
      <c r="H195" s="73"/>
      <c r="I195" s="73"/>
      <c r="J195" s="73"/>
      <c r="K195" s="73"/>
      <c r="L195" s="73"/>
      <c r="M195" s="73"/>
      <c r="N195" s="73"/>
      <c r="O195" s="73"/>
      <c r="P195" s="73"/>
      <c r="Q195" s="73"/>
      <c r="R195" s="73"/>
      <c r="S195" s="73"/>
      <c r="T195" s="73"/>
      <c r="U195" s="74"/>
    </row>
    <row r="196" spans="2:21" s="15" customFormat="1" x14ac:dyDescent="0.25">
      <c r="B196" s="72" t="s">
        <v>3093</v>
      </c>
      <c r="C196" s="73"/>
      <c r="D196" s="73"/>
      <c r="E196" s="73"/>
      <c r="F196" s="73"/>
      <c r="G196" s="73"/>
      <c r="H196" s="73"/>
      <c r="I196" s="73"/>
      <c r="J196" s="73"/>
      <c r="K196" s="73"/>
      <c r="L196" s="73"/>
      <c r="M196" s="73"/>
      <c r="N196" s="73"/>
      <c r="O196" s="73"/>
      <c r="P196" s="73"/>
      <c r="Q196" s="73"/>
      <c r="R196" s="73"/>
      <c r="S196" s="73"/>
      <c r="T196" s="73"/>
      <c r="U196" s="74"/>
    </row>
    <row r="197" spans="2:21" s="15" customFormat="1" x14ac:dyDescent="0.25">
      <c r="B197" s="72" t="s">
        <v>3165</v>
      </c>
      <c r="C197" s="73"/>
      <c r="D197" s="73"/>
      <c r="E197" s="73"/>
      <c r="F197" s="73"/>
      <c r="G197" s="73"/>
      <c r="H197" s="73"/>
      <c r="I197" s="73"/>
      <c r="J197" s="73"/>
      <c r="K197" s="73"/>
      <c r="L197" s="73"/>
      <c r="M197" s="73"/>
      <c r="N197" s="73"/>
      <c r="O197" s="73"/>
      <c r="P197" s="73"/>
      <c r="Q197" s="73"/>
      <c r="R197" s="73"/>
      <c r="S197" s="73"/>
      <c r="T197" s="73"/>
      <c r="U197" s="74"/>
    </row>
    <row r="198" spans="2:21" s="15" customFormat="1" x14ac:dyDescent="0.25">
      <c r="B198" s="72" t="s">
        <v>3085</v>
      </c>
      <c r="C198" s="73"/>
      <c r="D198" s="73"/>
      <c r="E198" s="73"/>
      <c r="F198" s="73"/>
      <c r="G198" s="73"/>
      <c r="H198" s="73"/>
      <c r="I198" s="73"/>
      <c r="J198" s="73"/>
      <c r="K198" s="73"/>
      <c r="L198" s="73"/>
      <c r="M198" s="73"/>
      <c r="N198" s="73"/>
      <c r="O198" s="73"/>
      <c r="P198" s="73"/>
      <c r="Q198" s="73"/>
      <c r="R198" s="73"/>
      <c r="S198" s="73"/>
      <c r="T198" s="73"/>
      <c r="U198" s="74"/>
    </row>
    <row r="199" spans="2:21" s="15" customFormat="1" x14ac:dyDescent="0.25">
      <c r="B199" s="72" t="s">
        <v>3182</v>
      </c>
      <c r="C199" s="73"/>
      <c r="D199" s="73"/>
      <c r="E199" s="73"/>
      <c r="F199" s="73"/>
      <c r="G199" s="73"/>
      <c r="H199" s="73"/>
      <c r="I199" s="73"/>
      <c r="J199" s="73"/>
      <c r="K199" s="73"/>
      <c r="L199" s="73"/>
      <c r="M199" s="73"/>
      <c r="N199" s="73"/>
      <c r="O199" s="73"/>
      <c r="P199" s="73"/>
      <c r="Q199" s="73"/>
      <c r="R199" s="73"/>
      <c r="S199" s="73"/>
      <c r="T199" s="73"/>
      <c r="U199" s="74"/>
    </row>
    <row r="200" spans="2:21" s="15" customFormat="1" x14ac:dyDescent="0.25">
      <c r="B200" s="72" t="s">
        <v>3203</v>
      </c>
      <c r="C200" s="73"/>
      <c r="D200" s="73"/>
      <c r="E200" s="73"/>
      <c r="F200" s="73"/>
      <c r="G200" s="73"/>
      <c r="H200" s="73"/>
      <c r="I200" s="73"/>
      <c r="J200" s="73"/>
      <c r="K200" s="73"/>
      <c r="L200" s="73"/>
      <c r="M200" s="73"/>
      <c r="N200" s="73"/>
      <c r="O200" s="73"/>
      <c r="P200" s="73"/>
      <c r="Q200" s="73"/>
      <c r="R200" s="73"/>
      <c r="S200" s="73"/>
      <c r="T200" s="73"/>
      <c r="U200" s="74"/>
    </row>
    <row r="201" spans="2:21" s="15" customFormat="1" x14ac:dyDescent="0.25">
      <c r="B201" s="72" t="s">
        <v>3398</v>
      </c>
      <c r="C201" s="73"/>
      <c r="D201" s="73"/>
      <c r="E201" s="73"/>
      <c r="F201" s="73"/>
      <c r="G201" s="73"/>
      <c r="H201" s="73"/>
      <c r="I201" s="73"/>
      <c r="J201" s="73"/>
      <c r="K201" s="73"/>
      <c r="L201" s="73"/>
      <c r="M201" s="73"/>
      <c r="N201" s="73"/>
      <c r="O201" s="73"/>
      <c r="P201" s="73"/>
      <c r="Q201" s="73"/>
      <c r="R201" s="73"/>
      <c r="S201" s="73"/>
      <c r="T201" s="73"/>
      <c r="U201" s="74"/>
    </row>
    <row r="202" spans="2:21" s="15" customFormat="1" x14ac:dyDescent="0.25">
      <c r="B202" s="72" t="s">
        <v>3465</v>
      </c>
      <c r="C202" s="73"/>
      <c r="D202" s="73"/>
      <c r="E202" s="73"/>
      <c r="F202" s="73"/>
      <c r="G202" s="73"/>
      <c r="H202" s="73"/>
      <c r="I202" s="73"/>
      <c r="J202" s="73"/>
      <c r="K202" s="73"/>
      <c r="L202" s="73"/>
      <c r="M202" s="73"/>
      <c r="N202" s="73"/>
      <c r="O202" s="73"/>
      <c r="P202" s="73"/>
      <c r="Q202" s="73"/>
      <c r="R202" s="73"/>
      <c r="S202" s="73"/>
      <c r="T202" s="73"/>
      <c r="U202" s="74"/>
    </row>
    <row r="203" spans="2:21" s="15" customFormat="1" x14ac:dyDescent="0.25">
      <c r="B203" s="72" t="s">
        <v>3283</v>
      </c>
      <c r="C203" s="73"/>
      <c r="D203" s="73"/>
      <c r="E203" s="73"/>
      <c r="F203" s="73"/>
      <c r="G203" s="73"/>
      <c r="H203" s="73"/>
      <c r="I203" s="73"/>
      <c r="J203" s="73"/>
      <c r="K203" s="73"/>
      <c r="L203" s="73"/>
      <c r="M203" s="73"/>
      <c r="N203" s="73"/>
      <c r="O203" s="73"/>
      <c r="P203" s="73"/>
      <c r="Q203" s="73"/>
      <c r="R203" s="73"/>
      <c r="S203" s="73"/>
      <c r="T203" s="73"/>
      <c r="U203" s="74"/>
    </row>
    <row r="204" spans="2:21" s="15" customFormat="1" x14ac:dyDescent="0.25">
      <c r="B204" s="72" t="s">
        <v>3284</v>
      </c>
      <c r="C204" s="73"/>
      <c r="D204" s="73"/>
      <c r="E204" s="73"/>
      <c r="F204" s="73"/>
      <c r="G204" s="73"/>
      <c r="H204" s="73"/>
      <c r="I204" s="73"/>
      <c r="J204" s="73"/>
      <c r="K204" s="73"/>
      <c r="L204" s="73"/>
      <c r="M204" s="73"/>
      <c r="N204" s="73"/>
      <c r="O204" s="73"/>
      <c r="P204" s="73"/>
      <c r="Q204" s="73"/>
      <c r="R204" s="73"/>
      <c r="S204" s="73"/>
      <c r="T204" s="73"/>
      <c r="U204" s="74"/>
    </row>
    <row r="205" spans="2:21" s="15" customFormat="1" x14ac:dyDescent="0.25">
      <c r="B205" s="72" t="s">
        <v>3172</v>
      </c>
      <c r="C205" s="73"/>
      <c r="D205" s="73"/>
      <c r="E205" s="73"/>
      <c r="F205" s="73"/>
      <c r="G205" s="73"/>
      <c r="H205" s="73"/>
      <c r="I205" s="73"/>
      <c r="J205" s="73"/>
      <c r="K205" s="73"/>
      <c r="L205" s="73"/>
      <c r="M205" s="73"/>
      <c r="N205" s="73"/>
      <c r="O205" s="73"/>
      <c r="P205" s="73"/>
      <c r="Q205" s="73"/>
      <c r="R205" s="73"/>
      <c r="S205" s="73"/>
      <c r="T205" s="73"/>
      <c r="U205" s="74"/>
    </row>
    <row r="206" spans="2:21" s="15" customFormat="1" x14ac:dyDescent="0.25">
      <c r="B206" s="72" t="s">
        <v>3285</v>
      </c>
      <c r="C206" s="73"/>
      <c r="D206" s="73"/>
      <c r="E206" s="73"/>
      <c r="F206" s="73"/>
      <c r="G206" s="73"/>
      <c r="H206" s="73"/>
      <c r="I206" s="73"/>
      <c r="J206" s="73"/>
      <c r="K206" s="73"/>
      <c r="L206" s="73"/>
      <c r="M206" s="73"/>
      <c r="N206" s="73"/>
      <c r="O206" s="73"/>
      <c r="P206" s="73"/>
      <c r="Q206" s="73"/>
      <c r="R206" s="73"/>
      <c r="S206" s="73"/>
      <c r="T206" s="73"/>
      <c r="U206" s="74"/>
    </row>
    <row r="207" spans="2:21" s="15" customFormat="1" x14ac:dyDescent="0.25">
      <c r="B207" s="72" t="s">
        <v>3391</v>
      </c>
      <c r="C207" s="73"/>
      <c r="D207" s="73"/>
      <c r="E207" s="73"/>
      <c r="F207" s="73"/>
      <c r="G207" s="73"/>
      <c r="H207" s="73"/>
      <c r="I207" s="73"/>
      <c r="J207" s="73"/>
      <c r="K207" s="73"/>
      <c r="L207" s="73"/>
      <c r="M207" s="73"/>
      <c r="N207" s="73"/>
      <c r="O207" s="73"/>
      <c r="P207" s="73"/>
      <c r="Q207" s="73"/>
      <c r="R207" s="73"/>
      <c r="S207" s="73"/>
      <c r="T207" s="73"/>
      <c r="U207" s="74"/>
    </row>
    <row r="208" spans="2:21" s="15" customFormat="1" x14ac:dyDescent="0.25">
      <c r="B208" s="72" t="s">
        <v>3287</v>
      </c>
      <c r="C208" s="73"/>
      <c r="D208" s="73"/>
      <c r="E208" s="73"/>
      <c r="F208" s="73"/>
      <c r="G208" s="73"/>
      <c r="H208" s="73"/>
      <c r="I208" s="73"/>
      <c r="J208" s="73"/>
      <c r="K208" s="73"/>
      <c r="L208" s="73"/>
      <c r="M208" s="73"/>
      <c r="N208" s="73"/>
      <c r="O208" s="73"/>
      <c r="P208" s="73"/>
      <c r="Q208" s="73"/>
      <c r="R208" s="73"/>
      <c r="S208" s="73"/>
      <c r="T208" s="73"/>
      <c r="U208" s="74"/>
    </row>
    <row r="209" spans="2:21" s="15" customFormat="1" x14ac:dyDescent="0.25">
      <c r="B209" s="72" t="s">
        <v>3292</v>
      </c>
      <c r="C209" s="73"/>
      <c r="D209" s="73"/>
      <c r="E209" s="73"/>
      <c r="F209" s="73"/>
      <c r="G209" s="73"/>
      <c r="H209" s="73"/>
      <c r="I209" s="73"/>
      <c r="J209" s="73"/>
      <c r="K209" s="73"/>
      <c r="L209" s="73"/>
      <c r="M209" s="73"/>
      <c r="N209" s="73"/>
      <c r="O209" s="73"/>
      <c r="P209" s="73"/>
      <c r="Q209" s="73"/>
      <c r="R209" s="73"/>
      <c r="S209" s="73"/>
      <c r="T209" s="73"/>
      <c r="U209" s="74"/>
    </row>
    <row r="210" spans="2:21" s="15" customFormat="1" x14ac:dyDescent="0.25">
      <c r="B210" s="72" t="s">
        <v>3288</v>
      </c>
      <c r="C210" s="73"/>
      <c r="D210" s="73"/>
      <c r="E210" s="73"/>
      <c r="F210" s="73"/>
      <c r="G210" s="73"/>
      <c r="H210" s="73"/>
      <c r="I210" s="73"/>
      <c r="J210" s="73"/>
      <c r="K210" s="73"/>
      <c r="L210" s="73"/>
      <c r="M210" s="73"/>
      <c r="N210" s="73"/>
      <c r="O210" s="73"/>
      <c r="P210" s="73"/>
      <c r="Q210" s="73"/>
      <c r="R210" s="73"/>
      <c r="S210" s="73"/>
      <c r="T210" s="73"/>
      <c r="U210" s="74"/>
    </row>
    <row r="211" spans="2:21" s="15" customFormat="1" x14ac:dyDescent="0.25">
      <c r="B211" s="72" t="s">
        <v>3178</v>
      </c>
      <c r="C211" s="73"/>
      <c r="D211" s="73"/>
      <c r="E211" s="73"/>
      <c r="F211" s="73"/>
      <c r="G211" s="73"/>
      <c r="H211" s="73"/>
      <c r="I211" s="73"/>
      <c r="J211" s="73"/>
      <c r="K211" s="73"/>
      <c r="L211" s="73"/>
      <c r="M211" s="73"/>
      <c r="N211" s="73"/>
      <c r="O211" s="73"/>
      <c r="P211" s="73"/>
      <c r="Q211" s="73"/>
      <c r="R211" s="73"/>
      <c r="S211" s="73"/>
      <c r="T211" s="73"/>
      <c r="U211" s="74"/>
    </row>
    <row r="212" spans="2:21" s="15" customFormat="1" x14ac:dyDescent="0.25">
      <c r="B212" s="72" t="s">
        <v>3392</v>
      </c>
      <c r="C212" s="73"/>
      <c r="D212" s="73"/>
      <c r="E212" s="73"/>
      <c r="F212" s="73"/>
      <c r="G212" s="73"/>
      <c r="H212" s="73"/>
      <c r="I212" s="73"/>
      <c r="J212" s="73"/>
      <c r="K212" s="73"/>
      <c r="L212" s="73"/>
      <c r="M212" s="73"/>
      <c r="N212" s="73"/>
      <c r="O212" s="73"/>
      <c r="P212" s="73"/>
      <c r="Q212" s="73"/>
      <c r="R212" s="73"/>
      <c r="S212" s="73"/>
      <c r="T212" s="73"/>
      <c r="U212" s="74"/>
    </row>
    <row r="213" spans="2:21" s="15" customFormat="1" x14ac:dyDescent="0.25">
      <c r="B213" s="72" t="s">
        <v>3293</v>
      </c>
      <c r="C213" s="73"/>
      <c r="D213" s="73"/>
      <c r="E213" s="73"/>
      <c r="F213" s="73"/>
      <c r="G213" s="73"/>
      <c r="H213" s="73"/>
      <c r="I213" s="73"/>
      <c r="J213" s="73"/>
      <c r="K213" s="73"/>
      <c r="L213" s="73"/>
      <c r="M213" s="73"/>
      <c r="N213" s="73"/>
      <c r="O213" s="73"/>
      <c r="P213" s="73"/>
      <c r="Q213" s="73"/>
      <c r="R213" s="73"/>
      <c r="S213" s="73"/>
      <c r="T213" s="73"/>
      <c r="U213" s="74"/>
    </row>
    <row r="214" spans="2:21" s="15" customFormat="1" x14ac:dyDescent="0.25">
      <c r="B214" s="72" t="s">
        <v>3181</v>
      </c>
      <c r="C214" s="73"/>
      <c r="D214" s="73"/>
      <c r="E214" s="73"/>
      <c r="F214" s="73"/>
      <c r="G214" s="73"/>
      <c r="H214" s="73"/>
      <c r="I214" s="73"/>
      <c r="J214" s="73"/>
      <c r="K214" s="73"/>
      <c r="L214" s="73"/>
      <c r="M214" s="73"/>
      <c r="N214" s="73"/>
      <c r="O214" s="73"/>
      <c r="P214" s="73"/>
      <c r="Q214" s="73"/>
      <c r="R214" s="73"/>
      <c r="S214" s="73"/>
      <c r="T214" s="73"/>
      <c r="U214" s="74"/>
    </row>
    <row r="215" spans="2:21" s="15" customFormat="1" x14ac:dyDescent="0.25">
      <c r="B215" s="72" t="s">
        <v>3085</v>
      </c>
      <c r="C215" s="73"/>
      <c r="D215" s="73"/>
      <c r="E215" s="73"/>
      <c r="F215" s="73"/>
      <c r="G215" s="73"/>
      <c r="H215" s="73"/>
      <c r="I215" s="73"/>
      <c r="J215" s="73"/>
      <c r="K215" s="73"/>
      <c r="L215" s="73"/>
      <c r="M215" s="73"/>
      <c r="N215" s="73"/>
      <c r="O215" s="73"/>
      <c r="P215" s="73"/>
      <c r="Q215" s="73"/>
      <c r="R215" s="73"/>
      <c r="S215" s="73"/>
      <c r="T215" s="73"/>
      <c r="U215" s="74"/>
    </row>
    <row r="216" spans="2:21" s="15" customFormat="1" x14ac:dyDescent="0.25">
      <c r="B216" s="72" t="s">
        <v>3182</v>
      </c>
      <c r="C216" s="73"/>
      <c r="D216" s="73"/>
      <c r="E216" s="73"/>
      <c r="F216" s="73"/>
      <c r="G216" s="73"/>
      <c r="H216" s="73"/>
      <c r="I216" s="73"/>
      <c r="J216" s="73"/>
      <c r="K216" s="73"/>
      <c r="L216" s="73"/>
      <c r="M216" s="73"/>
      <c r="N216" s="73"/>
      <c r="O216" s="73"/>
      <c r="P216" s="73"/>
      <c r="Q216" s="73"/>
      <c r="R216" s="73"/>
      <c r="S216" s="73"/>
      <c r="T216" s="73"/>
      <c r="U216" s="74"/>
    </row>
    <row r="217" spans="2:21" s="15" customFormat="1" x14ac:dyDescent="0.25">
      <c r="B217" s="72" t="s">
        <v>3167</v>
      </c>
      <c r="C217" s="73"/>
      <c r="D217" s="73"/>
      <c r="E217" s="73"/>
      <c r="F217" s="73"/>
      <c r="G217" s="73"/>
      <c r="H217" s="73"/>
      <c r="I217" s="73"/>
      <c r="J217" s="73"/>
      <c r="K217" s="73"/>
      <c r="L217" s="73"/>
      <c r="M217" s="73"/>
      <c r="N217" s="73"/>
      <c r="O217" s="73"/>
      <c r="P217" s="73"/>
      <c r="Q217" s="73"/>
      <c r="R217" s="73"/>
      <c r="S217" s="73"/>
      <c r="T217" s="73"/>
      <c r="U217" s="74"/>
    </row>
    <row r="218" spans="2:21" s="15" customFormat="1" x14ac:dyDescent="0.25">
      <c r="B218" s="72" t="s">
        <v>3168</v>
      </c>
      <c r="C218" s="73"/>
      <c r="D218" s="73"/>
      <c r="E218" s="73"/>
      <c r="F218" s="73"/>
      <c r="G218" s="73"/>
      <c r="H218" s="73"/>
      <c r="I218" s="73"/>
      <c r="J218" s="73"/>
      <c r="K218" s="73"/>
      <c r="L218" s="73"/>
      <c r="M218" s="73"/>
      <c r="N218" s="73"/>
      <c r="O218" s="73"/>
      <c r="P218" s="73"/>
      <c r="Q218" s="73"/>
      <c r="R218" s="73"/>
      <c r="S218" s="73"/>
      <c r="T218" s="73"/>
      <c r="U218" s="74"/>
    </row>
    <row r="219" spans="2:21" s="15" customFormat="1" x14ac:dyDescent="0.25">
      <c r="B219" s="72" t="s">
        <v>3169</v>
      </c>
      <c r="C219" s="73"/>
      <c r="D219" s="73"/>
      <c r="E219" s="73"/>
      <c r="F219" s="73"/>
      <c r="G219" s="73"/>
      <c r="H219" s="73"/>
      <c r="I219" s="73"/>
      <c r="J219" s="73"/>
      <c r="K219" s="73"/>
      <c r="L219" s="73"/>
      <c r="M219" s="73"/>
      <c r="N219" s="73"/>
      <c r="O219" s="73"/>
      <c r="P219" s="73"/>
      <c r="Q219" s="73"/>
      <c r="R219" s="73"/>
      <c r="S219" s="73"/>
      <c r="T219" s="73"/>
      <c r="U219" s="74"/>
    </row>
    <row r="220" spans="2:21" s="15" customFormat="1" x14ac:dyDescent="0.25">
      <c r="B220" s="72" t="s">
        <v>3283</v>
      </c>
      <c r="C220" s="73"/>
      <c r="D220" s="73"/>
      <c r="E220" s="73"/>
      <c r="F220" s="73"/>
      <c r="G220" s="73"/>
      <c r="H220" s="73"/>
      <c r="I220" s="73"/>
      <c r="J220" s="73"/>
      <c r="K220" s="73"/>
      <c r="L220" s="73"/>
      <c r="M220" s="73"/>
      <c r="N220" s="73"/>
      <c r="O220" s="73"/>
      <c r="P220" s="73"/>
      <c r="Q220" s="73"/>
      <c r="R220" s="73"/>
      <c r="S220" s="73"/>
      <c r="T220" s="73"/>
      <c r="U220" s="74"/>
    </row>
    <row r="221" spans="2:21" s="15" customFormat="1" x14ac:dyDescent="0.25">
      <c r="B221" s="72" t="s">
        <v>3171</v>
      </c>
      <c r="C221" s="73"/>
      <c r="D221" s="73"/>
      <c r="E221" s="73"/>
      <c r="F221" s="73"/>
      <c r="G221" s="73"/>
      <c r="H221" s="73"/>
      <c r="I221" s="73"/>
      <c r="J221" s="73"/>
      <c r="K221" s="73"/>
      <c r="L221" s="73"/>
      <c r="M221" s="73"/>
      <c r="N221" s="73"/>
      <c r="O221" s="73"/>
      <c r="P221" s="73"/>
      <c r="Q221" s="73"/>
      <c r="R221" s="73"/>
      <c r="S221" s="73"/>
      <c r="T221" s="73"/>
      <c r="U221" s="74"/>
    </row>
    <row r="222" spans="2:21" s="15" customFormat="1" x14ac:dyDescent="0.25">
      <c r="B222" s="72" t="s">
        <v>3172</v>
      </c>
      <c r="C222" s="73"/>
      <c r="D222" s="73"/>
      <c r="E222" s="73"/>
      <c r="F222" s="73"/>
      <c r="G222" s="73"/>
      <c r="H222" s="73"/>
      <c r="I222" s="73"/>
      <c r="J222" s="73"/>
      <c r="K222" s="73"/>
      <c r="L222" s="73"/>
      <c r="M222" s="73"/>
      <c r="N222" s="73"/>
      <c r="O222" s="73"/>
      <c r="P222" s="73"/>
      <c r="Q222" s="73"/>
      <c r="R222" s="73"/>
      <c r="S222" s="73"/>
      <c r="T222" s="73"/>
      <c r="U222" s="74"/>
    </row>
    <row r="223" spans="2:21" s="15" customFormat="1" x14ac:dyDescent="0.25">
      <c r="B223" s="72" t="s">
        <v>3285</v>
      </c>
      <c r="C223" s="73"/>
      <c r="D223" s="73"/>
      <c r="E223" s="73"/>
      <c r="F223" s="73"/>
      <c r="G223" s="73"/>
      <c r="H223" s="73"/>
      <c r="I223" s="73"/>
      <c r="J223" s="73"/>
      <c r="K223" s="73"/>
      <c r="L223" s="73"/>
      <c r="M223" s="73"/>
      <c r="N223" s="73"/>
      <c r="O223" s="73"/>
      <c r="P223" s="73"/>
      <c r="Q223" s="73"/>
      <c r="R223" s="73"/>
      <c r="S223" s="73"/>
      <c r="T223" s="73"/>
      <c r="U223" s="74"/>
    </row>
    <row r="224" spans="2:21" s="15" customFormat="1" x14ac:dyDescent="0.25">
      <c r="B224" s="72" t="s">
        <v>3286</v>
      </c>
      <c r="C224" s="73"/>
      <c r="D224" s="73"/>
      <c r="E224" s="73"/>
      <c r="F224" s="73"/>
      <c r="G224" s="73"/>
      <c r="H224" s="73"/>
      <c r="I224" s="73"/>
      <c r="J224" s="73"/>
      <c r="K224" s="73"/>
      <c r="L224" s="73"/>
      <c r="M224" s="73"/>
      <c r="N224" s="73"/>
      <c r="O224" s="73"/>
      <c r="P224" s="73"/>
      <c r="Q224" s="73"/>
      <c r="R224" s="73"/>
      <c r="S224" s="73"/>
      <c r="T224" s="73"/>
      <c r="U224" s="74"/>
    </row>
    <row r="225" spans="2:21" s="15" customFormat="1" x14ac:dyDescent="0.25">
      <c r="B225" s="72" t="s">
        <v>3287</v>
      </c>
      <c r="C225" s="73"/>
      <c r="D225" s="73"/>
      <c r="E225" s="73"/>
      <c r="F225" s="73"/>
      <c r="G225" s="73"/>
      <c r="H225" s="73"/>
      <c r="I225" s="73"/>
      <c r="J225" s="73"/>
      <c r="K225" s="73"/>
      <c r="L225" s="73"/>
      <c r="M225" s="73"/>
      <c r="N225" s="73"/>
      <c r="O225" s="73"/>
      <c r="P225" s="73"/>
      <c r="Q225" s="73"/>
      <c r="R225" s="73"/>
      <c r="S225" s="73"/>
      <c r="T225" s="73"/>
      <c r="U225" s="74"/>
    </row>
    <row r="226" spans="2:21" s="15" customFormat="1" x14ac:dyDescent="0.25">
      <c r="B226" s="72" t="s">
        <v>3176</v>
      </c>
      <c r="C226" s="73"/>
      <c r="D226" s="73"/>
      <c r="E226" s="73"/>
      <c r="F226" s="73"/>
      <c r="G226" s="73"/>
      <c r="H226" s="73"/>
      <c r="I226" s="73"/>
      <c r="J226" s="73"/>
      <c r="K226" s="73"/>
      <c r="L226" s="73"/>
      <c r="M226" s="73"/>
      <c r="N226" s="73"/>
      <c r="O226" s="73"/>
      <c r="P226" s="73"/>
      <c r="Q226" s="73"/>
      <c r="R226" s="73"/>
      <c r="S226" s="73"/>
      <c r="T226" s="73"/>
      <c r="U226" s="74"/>
    </row>
    <row r="227" spans="2:21" s="15" customFormat="1" x14ac:dyDescent="0.25">
      <c r="B227" s="72" t="s">
        <v>3288</v>
      </c>
      <c r="C227" s="73"/>
      <c r="D227" s="73"/>
      <c r="E227" s="73"/>
      <c r="F227" s="73"/>
      <c r="G227" s="73"/>
      <c r="H227" s="73"/>
      <c r="I227" s="73"/>
      <c r="J227" s="73"/>
      <c r="K227" s="73"/>
      <c r="L227" s="73"/>
      <c r="M227" s="73"/>
      <c r="N227" s="73"/>
      <c r="O227" s="73"/>
      <c r="P227" s="73"/>
      <c r="Q227" s="73"/>
      <c r="R227" s="73"/>
      <c r="S227" s="73"/>
      <c r="T227" s="73"/>
      <c r="U227" s="74"/>
    </row>
    <row r="228" spans="2:21" s="15" customFormat="1" x14ac:dyDescent="0.25">
      <c r="B228" s="72" t="s">
        <v>3289</v>
      </c>
      <c r="C228" s="73"/>
      <c r="D228" s="73"/>
      <c r="E228" s="73"/>
      <c r="F228" s="73"/>
      <c r="G228" s="73"/>
      <c r="H228" s="73"/>
      <c r="I228" s="73"/>
      <c r="J228" s="73"/>
      <c r="K228" s="73"/>
      <c r="L228" s="73"/>
      <c r="M228" s="73"/>
      <c r="N228" s="73"/>
      <c r="O228" s="73"/>
      <c r="P228" s="73"/>
      <c r="Q228" s="73"/>
      <c r="R228" s="73"/>
      <c r="S228" s="73"/>
      <c r="T228" s="73"/>
      <c r="U228" s="74"/>
    </row>
    <row r="229" spans="2:21" s="15" customFormat="1" x14ac:dyDescent="0.25">
      <c r="B229" s="72" t="s">
        <v>3294</v>
      </c>
      <c r="C229" s="73"/>
      <c r="D229" s="73"/>
      <c r="E229" s="73"/>
      <c r="F229" s="73"/>
      <c r="G229" s="73"/>
      <c r="H229" s="73"/>
      <c r="I229" s="73"/>
      <c r="J229" s="73"/>
      <c r="K229" s="73"/>
      <c r="L229" s="73"/>
      <c r="M229" s="73"/>
      <c r="N229" s="73"/>
      <c r="O229" s="73"/>
      <c r="P229" s="73"/>
      <c r="Q229" s="73"/>
      <c r="R229" s="73"/>
      <c r="S229" s="73"/>
      <c r="T229" s="73"/>
      <c r="U229" s="74"/>
    </row>
    <row r="230" spans="2:21" s="15" customFormat="1" x14ac:dyDescent="0.25">
      <c r="B230" s="72" t="s">
        <v>3293</v>
      </c>
      <c r="C230" s="73"/>
      <c r="D230" s="73"/>
      <c r="E230" s="73"/>
      <c r="F230" s="73"/>
      <c r="G230" s="73"/>
      <c r="H230" s="73"/>
      <c r="I230" s="73"/>
      <c r="J230" s="73"/>
      <c r="K230" s="73"/>
      <c r="L230" s="73"/>
      <c r="M230" s="73"/>
      <c r="N230" s="73"/>
      <c r="O230" s="73"/>
      <c r="P230" s="73"/>
      <c r="Q230" s="73"/>
      <c r="R230" s="73"/>
      <c r="S230" s="73"/>
      <c r="T230" s="73"/>
      <c r="U230" s="74"/>
    </row>
    <row r="231" spans="2:21" s="15" customFormat="1" x14ac:dyDescent="0.25">
      <c r="B231" s="72" t="s">
        <v>3083</v>
      </c>
      <c r="C231" s="73"/>
      <c r="D231" s="73"/>
      <c r="E231" s="73"/>
      <c r="F231" s="73"/>
      <c r="G231" s="73"/>
      <c r="H231" s="73"/>
      <c r="I231" s="73"/>
      <c r="J231" s="73"/>
      <c r="K231" s="73"/>
      <c r="L231" s="73"/>
      <c r="M231" s="73"/>
      <c r="N231" s="73"/>
      <c r="O231" s="73"/>
      <c r="P231" s="73"/>
      <c r="Q231" s="73"/>
      <c r="R231" s="73"/>
      <c r="S231" s="73"/>
      <c r="T231" s="73"/>
      <c r="U231" s="74"/>
    </row>
    <row r="232" spans="2:21" s="15" customFormat="1" x14ac:dyDescent="0.25">
      <c r="B232" s="72" t="s">
        <v>3093</v>
      </c>
      <c r="C232" s="73"/>
      <c r="D232" s="73"/>
      <c r="E232" s="73"/>
      <c r="F232" s="73"/>
      <c r="G232" s="73"/>
      <c r="H232" s="73"/>
      <c r="I232" s="73"/>
      <c r="J232" s="73"/>
      <c r="K232" s="73"/>
      <c r="L232" s="73"/>
      <c r="M232" s="73"/>
      <c r="N232" s="73"/>
      <c r="O232" s="73"/>
      <c r="P232" s="73"/>
      <c r="Q232" s="73"/>
      <c r="R232" s="73"/>
      <c r="S232" s="73"/>
      <c r="T232" s="73"/>
      <c r="U232" s="74"/>
    </row>
    <row r="233" spans="2:21" s="15" customFormat="1" x14ac:dyDescent="0.25">
      <c r="B233" s="72" t="s">
        <v>3195</v>
      </c>
      <c r="C233" s="73"/>
      <c r="D233" s="73"/>
      <c r="E233" s="73"/>
      <c r="F233" s="73"/>
      <c r="G233" s="73"/>
      <c r="H233" s="73"/>
      <c r="I233" s="73"/>
      <c r="J233" s="73"/>
      <c r="K233" s="73"/>
      <c r="L233" s="73"/>
      <c r="M233" s="73"/>
      <c r="N233" s="73"/>
      <c r="O233" s="73"/>
      <c r="P233" s="73"/>
      <c r="Q233" s="73"/>
      <c r="R233" s="73"/>
      <c r="S233" s="73"/>
      <c r="T233" s="73"/>
      <c r="U233" s="74"/>
    </row>
    <row r="234" spans="2:21" s="15" customFormat="1" x14ac:dyDescent="0.25">
      <c r="B234" s="72" t="s">
        <v>3085</v>
      </c>
      <c r="C234" s="73"/>
      <c r="D234" s="73"/>
      <c r="E234" s="73"/>
      <c r="F234" s="73"/>
      <c r="G234" s="73"/>
      <c r="H234" s="73"/>
      <c r="I234" s="73"/>
      <c r="J234" s="73"/>
      <c r="K234" s="73"/>
      <c r="L234" s="73"/>
      <c r="M234" s="73"/>
      <c r="N234" s="73"/>
      <c r="O234" s="73"/>
      <c r="P234" s="73"/>
      <c r="Q234" s="73"/>
      <c r="R234" s="73"/>
      <c r="S234" s="73"/>
      <c r="T234" s="73"/>
      <c r="U234" s="74"/>
    </row>
    <row r="235" spans="2:21" s="15" customFormat="1" x14ac:dyDescent="0.25">
      <c r="B235" s="72" t="s">
        <v>3466</v>
      </c>
      <c r="C235" s="73"/>
      <c r="D235" s="73"/>
      <c r="E235" s="73"/>
      <c r="F235" s="73"/>
      <c r="G235" s="73"/>
      <c r="H235" s="73"/>
      <c r="I235" s="73"/>
      <c r="J235" s="73"/>
      <c r="K235" s="73"/>
      <c r="L235" s="73"/>
      <c r="M235" s="73"/>
      <c r="N235" s="73"/>
      <c r="O235" s="73"/>
      <c r="P235" s="73"/>
      <c r="Q235" s="73"/>
      <c r="R235" s="73"/>
      <c r="S235" s="73"/>
      <c r="T235" s="73"/>
      <c r="U235" s="74"/>
    </row>
    <row r="236" spans="2:21" s="15" customFormat="1" x14ac:dyDescent="0.25">
      <c r="B236" s="72" t="s">
        <v>3303</v>
      </c>
      <c r="C236" s="73"/>
      <c r="D236" s="73"/>
      <c r="E236" s="73"/>
      <c r="F236" s="73"/>
      <c r="G236" s="73"/>
      <c r="H236" s="73"/>
      <c r="I236" s="73"/>
      <c r="J236" s="73"/>
      <c r="K236" s="73"/>
      <c r="L236" s="73"/>
      <c r="M236" s="73"/>
      <c r="N236" s="73"/>
      <c r="O236" s="73"/>
      <c r="P236" s="73"/>
      <c r="Q236" s="73"/>
      <c r="R236" s="73"/>
      <c r="S236" s="73"/>
      <c r="T236" s="73"/>
      <c r="U236" s="74"/>
    </row>
    <row r="237" spans="2:21" s="15" customFormat="1" x14ac:dyDescent="0.25">
      <c r="B237" s="72" t="s">
        <v>3181</v>
      </c>
      <c r="C237" s="73"/>
      <c r="D237" s="73"/>
      <c r="E237" s="73"/>
      <c r="F237" s="73"/>
      <c r="G237" s="73"/>
      <c r="H237" s="73"/>
      <c r="I237" s="73"/>
      <c r="J237" s="73"/>
      <c r="K237" s="73"/>
      <c r="L237" s="73"/>
      <c r="M237" s="73"/>
      <c r="N237" s="73"/>
      <c r="O237" s="73"/>
      <c r="P237" s="73"/>
      <c r="Q237" s="73"/>
      <c r="R237" s="73"/>
      <c r="S237" s="73"/>
      <c r="T237" s="73"/>
      <c r="U237" s="74"/>
    </row>
    <row r="238" spans="2:21" s="15" customFormat="1" x14ac:dyDescent="0.25">
      <c r="B238" s="72" t="s">
        <v>3085</v>
      </c>
      <c r="C238" s="73"/>
      <c r="D238" s="73"/>
      <c r="E238" s="73"/>
      <c r="F238" s="73"/>
      <c r="G238" s="73"/>
      <c r="H238" s="73"/>
      <c r="I238" s="73"/>
      <c r="J238" s="73"/>
      <c r="K238" s="73"/>
      <c r="L238" s="73"/>
      <c r="M238" s="73"/>
      <c r="N238" s="73"/>
      <c r="O238" s="73"/>
      <c r="P238" s="73"/>
      <c r="Q238" s="73"/>
      <c r="R238" s="73"/>
      <c r="S238" s="73"/>
      <c r="T238" s="73"/>
      <c r="U238" s="74"/>
    </row>
    <row r="239" spans="2:21" s="15" customFormat="1" x14ac:dyDescent="0.25">
      <c r="B239" s="72" t="s">
        <v>3466</v>
      </c>
      <c r="C239" s="73"/>
      <c r="D239" s="73"/>
      <c r="E239" s="73"/>
      <c r="F239" s="73"/>
      <c r="G239" s="73"/>
      <c r="H239" s="73"/>
      <c r="I239" s="73"/>
      <c r="J239" s="73"/>
      <c r="K239" s="73"/>
      <c r="L239" s="73"/>
      <c r="M239" s="73"/>
      <c r="N239" s="73"/>
      <c r="O239" s="73"/>
      <c r="P239" s="73"/>
      <c r="Q239" s="73"/>
      <c r="R239" s="73"/>
      <c r="S239" s="73"/>
      <c r="T239" s="73"/>
      <c r="U239" s="74"/>
    </row>
    <row r="240" spans="2:21" s="15" customFormat="1" x14ac:dyDescent="0.25">
      <c r="B240" s="72" t="s">
        <v>3406</v>
      </c>
      <c r="C240" s="73"/>
      <c r="D240" s="73"/>
      <c r="E240" s="73"/>
      <c r="F240" s="73"/>
      <c r="G240" s="73"/>
      <c r="H240" s="73"/>
      <c r="I240" s="73"/>
      <c r="J240" s="73"/>
      <c r="K240" s="73"/>
      <c r="L240" s="73"/>
      <c r="M240" s="73"/>
      <c r="N240" s="73"/>
      <c r="O240" s="73"/>
      <c r="P240" s="73"/>
      <c r="Q240" s="73"/>
      <c r="R240" s="73"/>
      <c r="S240" s="73"/>
      <c r="T240" s="73"/>
      <c r="U240" s="74"/>
    </row>
    <row r="241" spans="2:21" s="15" customFormat="1" x14ac:dyDescent="0.25">
      <c r="B241" s="72" t="s">
        <v>3467</v>
      </c>
      <c r="C241" s="73"/>
      <c r="D241" s="73"/>
      <c r="E241" s="73"/>
      <c r="F241" s="73"/>
      <c r="G241" s="73"/>
      <c r="H241" s="73"/>
      <c r="I241" s="73"/>
      <c r="J241" s="73"/>
      <c r="K241" s="73"/>
      <c r="L241" s="73"/>
      <c r="M241" s="73"/>
      <c r="N241" s="73"/>
      <c r="O241" s="73"/>
      <c r="P241" s="73"/>
      <c r="Q241" s="73"/>
      <c r="R241" s="73"/>
      <c r="S241" s="73"/>
      <c r="T241" s="73"/>
      <c r="U241" s="74"/>
    </row>
    <row r="242" spans="2:21" s="15" customFormat="1" x14ac:dyDescent="0.25">
      <c r="B242" s="72" t="s">
        <v>3181</v>
      </c>
      <c r="C242" s="73"/>
      <c r="D242" s="73"/>
      <c r="E242" s="73"/>
      <c r="F242" s="73"/>
      <c r="G242" s="73"/>
      <c r="H242" s="73"/>
      <c r="I242" s="73"/>
      <c r="J242" s="73"/>
      <c r="K242" s="73"/>
      <c r="L242" s="73"/>
      <c r="M242" s="73"/>
      <c r="N242" s="73"/>
      <c r="O242" s="73"/>
      <c r="P242" s="73"/>
      <c r="Q242" s="73"/>
      <c r="R242" s="73"/>
      <c r="S242" s="73"/>
      <c r="T242" s="73"/>
      <c r="U242" s="74"/>
    </row>
    <row r="243" spans="2:21" s="15" customFormat="1" x14ac:dyDescent="0.25">
      <c r="B243" s="72" t="s">
        <v>3085</v>
      </c>
      <c r="C243" s="73"/>
      <c r="D243" s="73"/>
      <c r="E243" s="73"/>
      <c r="F243" s="73"/>
      <c r="G243" s="73"/>
      <c r="H243" s="73"/>
      <c r="I243" s="73"/>
      <c r="J243" s="73"/>
      <c r="K243" s="73"/>
      <c r="L243" s="73"/>
      <c r="M243" s="73"/>
      <c r="N243" s="73"/>
      <c r="O243" s="73"/>
      <c r="P243" s="73"/>
      <c r="Q243" s="73"/>
      <c r="R243" s="73"/>
      <c r="S243" s="73"/>
      <c r="T243" s="73"/>
      <c r="U243" s="74"/>
    </row>
    <row r="244" spans="2:21" s="15" customFormat="1" x14ac:dyDescent="0.25">
      <c r="B244" s="72" t="s">
        <v>3468</v>
      </c>
      <c r="C244" s="73"/>
      <c r="D244" s="73"/>
      <c r="E244" s="73"/>
      <c r="F244" s="73"/>
      <c r="G244" s="73"/>
      <c r="H244" s="73"/>
      <c r="I244" s="73"/>
      <c r="J244" s="73"/>
      <c r="K244" s="73"/>
      <c r="L244" s="73"/>
      <c r="M244" s="73"/>
      <c r="N244" s="73"/>
      <c r="O244" s="73"/>
      <c r="P244" s="73"/>
      <c r="Q244" s="73"/>
      <c r="R244" s="73"/>
      <c r="S244" s="73"/>
      <c r="T244" s="73"/>
      <c r="U244" s="74"/>
    </row>
    <row r="245" spans="2:21" s="15" customFormat="1" x14ac:dyDescent="0.25">
      <c r="B245" s="72" t="s">
        <v>3469</v>
      </c>
      <c r="C245" s="73"/>
      <c r="D245" s="73"/>
      <c r="E245" s="73"/>
      <c r="F245" s="73"/>
      <c r="G245" s="73"/>
      <c r="H245" s="73"/>
      <c r="I245" s="73"/>
      <c r="J245" s="73"/>
      <c r="K245" s="73"/>
      <c r="L245" s="73"/>
      <c r="M245" s="73"/>
      <c r="N245" s="73"/>
      <c r="O245" s="73"/>
      <c r="P245" s="73"/>
      <c r="Q245" s="73"/>
      <c r="R245" s="73"/>
      <c r="S245" s="73"/>
      <c r="T245" s="73"/>
      <c r="U245" s="74"/>
    </row>
    <row r="246" spans="2:21" s="15" customFormat="1" x14ac:dyDescent="0.25">
      <c r="B246" s="72" t="s">
        <v>3306</v>
      </c>
      <c r="C246" s="73"/>
      <c r="D246" s="73"/>
      <c r="E246" s="73"/>
      <c r="F246" s="73"/>
      <c r="G246" s="73"/>
      <c r="H246" s="73"/>
      <c r="I246" s="73"/>
      <c r="J246" s="73"/>
      <c r="K246" s="73"/>
      <c r="L246" s="73"/>
      <c r="M246" s="73"/>
      <c r="N246" s="73"/>
      <c r="O246" s="73"/>
      <c r="P246" s="73"/>
      <c r="Q246" s="73"/>
      <c r="R246" s="73"/>
      <c r="S246" s="73"/>
      <c r="T246" s="73"/>
      <c r="U246" s="74"/>
    </row>
    <row r="247" spans="2:21" s="15" customFormat="1" x14ac:dyDescent="0.25">
      <c r="B247" s="72" t="s">
        <v>3307</v>
      </c>
      <c r="C247" s="73"/>
      <c r="D247" s="73"/>
      <c r="E247" s="73"/>
      <c r="F247" s="73"/>
      <c r="G247" s="73"/>
      <c r="H247" s="73"/>
      <c r="I247" s="73"/>
      <c r="J247" s="73"/>
      <c r="K247" s="73"/>
      <c r="L247" s="73"/>
      <c r="M247" s="73"/>
      <c r="N247" s="73"/>
      <c r="O247" s="73"/>
      <c r="P247" s="73"/>
      <c r="Q247" s="73"/>
      <c r="R247" s="73"/>
      <c r="S247" s="73"/>
      <c r="T247" s="73"/>
      <c r="U247" s="74"/>
    </row>
    <row r="248" spans="2:21" s="15" customFormat="1" x14ac:dyDescent="0.25">
      <c r="B248" s="72" t="s">
        <v>3181</v>
      </c>
      <c r="C248" s="73"/>
      <c r="D248" s="73"/>
      <c r="E248" s="73"/>
      <c r="F248" s="73"/>
      <c r="G248" s="73"/>
      <c r="H248" s="73"/>
      <c r="I248" s="73"/>
      <c r="J248" s="73"/>
      <c r="K248" s="73"/>
      <c r="L248" s="73"/>
      <c r="M248" s="73"/>
      <c r="N248" s="73"/>
      <c r="O248" s="73"/>
      <c r="P248" s="73"/>
      <c r="Q248" s="73"/>
      <c r="R248" s="73"/>
      <c r="S248" s="73"/>
      <c r="T248" s="73"/>
      <c r="U248" s="74"/>
    </row>
    <row r="249" spans="2:21" s="15" customFormat="1" x14ac:dyDescent="0.25">
      <c r="B249" s="72" t="s">
        <v>3085</v>
      </c>
      <c r="C249" s="73"/>
      <c r="D249" s="73"/>
      <c r="E249" s="73"/>
      <c r="F249" s="73"/>
      <c r="G249" s="73"/>
      <c r="H249" s="73"/>
      <c r="I249" s="73"/>
      <c r="J249" s="73"/>
      <c r="K249" s="73"/>
      <c r="L249" s="73"/>
      <c r="M249" s="73"/>
      <c r="N249" s="73"/>
      <c r="O249" s="73"/>
      <c r="P249" s="73"/>
      <c r="Q249" s="73"/>
      <c r="R249" s="73"/>
      <c r="S249" s="73"/>
      <c r="T249" s="73"/>
      <c r="U249" s="74"/>
    </row>
    <row r="250" spans="2:21" s="15" customFormat="1" x14ac:dyDescent="0.25">
      <c r="B250" s="72" t="s">
        <v>3470</v>
      </c>
      <c r="C250" s="73"/>
      <c r="D250" s="73"/>
      <c r="E250" s="73"/>
      <c r="F250" s="73"/>
      <c r="G250" s="73"/>
      <c r="H250" s="73"/>
      <c r="I250" s="73"/>
      <c r="J250" s="73"/>
      <c r="K250" s="73"/>
      <c r="L250" s="73"/>
      <c r="M250" s="73"/>
      <c r="N250" s="73"/>
      <c r="O250" s="73"/>
      <c r="P250" s="73"/>
      <c r="Q250" s="73"/>
      <c r="R250" s="73"/>
      <c r="S250" s="73"/>
      <c r="T250" s="73"/>
      <c r="U250" s="74"/>
    </row>
    <row r="251" spans="2:21" s="15" customFormat="1" x14ac:dyDescent="0.25">
      <c r="B251" s="72" t="s">
        <v>3469</v>
      </c>
      <c r="C251" s="73"/>
      <c r="D251" s="73"/>
      <c r="E251" s="73"/>
      <c r="F251" s="73"/>
      <c r="G251" s="73"/>
      <c r="H251" s="73"/>
      <c r="I251" s="73"/>
      <c r="J251" s="73"/>
      <c r="K251" s="73"/>
      <c r="L251" s="73"/>
      <c r="M251" s="73"/>
      <c r="N251" s="73"/>
      <c r="O251" s="73"/>
      <c r="P251" s="73"/>
      <c r="Q251" s="73"/>
      <c r="R251" s="73"/>
      <c r="S251" s="73"/>
      <c r="T251" s="73"/>
      <c r="U251" s="74"/>
    </row>
    <row r="252" spans="2:21" s="15" customFormat="1" x14ac:dyDescent="0.25">
      <c r="B252" s="72" t="s">
        <v>3312</v>
      </c>
      <c r="C252" s="73"/>
      <c r="D252" s="73"/>
      <c r="E252" s="73"/>
      <c r="F252" s="73"/>
      <c r="G252" s="73"/>
      <c r="H252" s="73"/>
      <c r="I252" s="73"/>
      <c r="J252" s="73"/>
      <c r="K252" s="73"/>
      <c r="L252" s="73"/>
      <c r="M252" s="73"/>
      <c r="N252" s="73"/>
      <c r="O252" s="73"/>
      <c r="P252" s="73"/>
      <c r="Q252" s="73"/>
      <c r="R252" s="73"/>
      <c r="S252" s="73"/>
      <c r="T252" s="73"/>
      <c r="U252" s="74"/>
    </row>
    <row r="253" spans="2:21" s="15" customFormat="1" x14ac:dyDescent="0.25">
      <c r="B253" s="72" t="s">
        <v>3313</v>
      </c>
      <c r="C253" s="73"/>
      <c r="D253" s="73"/>
      <c r="E253" s="73"/>
      <c r="F253" s="73"/>
      <c r="G253" s="73"/>
      <c r="H253" s="73"/>
      <c r="I253" s="73"/>
      <c r="J253" s="73"/>
      <c r="K253" s="73"/>
      <c r="L253" s="73"/>
      <c r="M253" s="73"/>
      <c r="N253" s="73"/>
      <c r="O253" s="73"/>
      <c r="P253" s="73"/>
      <c r="Q253" s="73"/>
      <c r="R253" s="73"/>
      <c r="S253" s="73"/>
      <c r="T253" s="73"/>
      <c r="U253" s="74"/>
    </row>
    <row r="254" spans="2:21" s="15" customFormat="1" x14ac:dyDescent="0.25">
      <c r="B254" s="72" t="s">
        <v>3083</v>
      </c>
      <c r="C254" s="73"/>
      <c r="D254" s="73"/>
      <c r="E254" s="73"/>
      <c r="F254" s="73"/>
      <c r="G254" s="73"/>
      <c r="H254" s="73"/>
      <c r="I254" s="73"/>
      <c r="J254" s="73"/>
      <c r="K254" s="73"/>
      <c r="L254" s="73"/>
      <c r="M254" s="73"/>
      <c r="N254" s="73"/>
      <c r="O254" s="73"/>
      <c r="P254" s="73"/>
      <c r="Q254" s="73"/>
      <c r="R254" s="73"/>
      <c r="S254" s="73"/>
      <c r="T254" s="73"/>
      <c r="U254" s="74"/>
    </row>
    <row r="255" spans="2:21" s="15" customFormat="1" x14ac:dyDescent="0.25">
      <c r="B255" s="72" t="s">
        <v>3093</v>
      </c>
      <c r="C255" s="73"/>
      <c r="D255" s="73"/>
      <c r="E255" s="73"/>
      <c r="F255" s="73"/>
      <c r="G255" s="73"/>
      <c r="H255" s="73"/>
      <c r="I255" s="73"/>
      <c r="J255" s="73"/>
      <c r="K255" s="73"/>
      <c r="L255" s="73"/>
      <c r="M255" s="73"/>
      <c r="N255" s="73"/>
      <c r="O255" s="73"/>
      <c r="P255" s="73"/>
      <c r="Q255" s="73"/>
      <c r="R255" s="73"/>
      <c r="S255" s="73"/>
      <c r="T255" s="73"/>
      <c r="U255" s="74"/>
    </row>
    <row r="256" spans="2:21" s="15" customFormat="1" x14ac:dyDescent="0.25">
      <c r="B256" s="72" t="s">
        <v>3199</v>
      </c>
      <c r="C256" s="73"/>
      <c r="D256" s="73"/>
      <c r="E256" s="73"/>
      <c r="F256" s="73"/>
      <c r="G256" s="73"/>
      <c r="H256" s="73"/>
      <c r="I256" s="73"/>
      <c r="J256" s="73"/>
      <c r="K256" s="73"/>
      <c r="L256" s="73"/>
      <c r="M256" s="73"/>
      <c r="N256" s="73"/>
      <c r="O256" s="73"/>
      <c r="P256" s="73"/>
      <c r="Q256" s="73"/>
      <c r="R256" s="73"/>
      <c r="S256" s="73"/>
      <c r="T256" s="73"/>
      <c r="U256" s="74"/>
    </row>
    <row r="257" spans="2:21" s="15" customFormat="1" x14ac:dyDescent="0.25">
      <c r="B257" s="72" t="s">
        <v>3085</v>
      </c>
      <c r="C257" s="73"/>
      <c r="D257" s="73"/>
      <c r="E257" s="73"/>
      <c r="F257" s="73"/>
      <c r="G257" s="73"/>
      <c r="H257" s="73"/>
      <c r="I257" s="73"/>
      <c r="J257" s="73"/>
      <c r="K257" s="73"/>
      <c r="L257" s="73"/>
      <c r="M257" s="73"/>
      <c r="N257" s="73"/>
      <c r="O257" s="73"/>
      <c r="P257" s="73"/>
      <c r="Q257" s="73"/>
      <c r="R257" s="73"/>
      <c r="S257" s="73"/>
      <c r="T257" s="73"/>
      <c r="U257" s="74"/>
    </row>
    <row r="258" spans="2:21" s="15" customFormat="1" x14ac:dyDescent="0.25">
      <c r="B258" s="72" t="s">
        <v>3200</v>
      </c>
      <c r="C258" s="73"/>
      <c r="D258" s="73"/>
      <c r="E258" s="73"/>
      <c r="F258" s="73"/>
      <c r="G258" s="73"/>
      <c r="H258" s="73"/>
      <c r="I258" s="73"/>
      <c r="J258" s="73"/>
      <c r="K258" s="73"/>
      <c r="L258" s="73"/>
      <c r="M258" s="73"/>
      <c r="N258" s="73"/>
      <c r="O258" s="73"/>
      <c r="P258" s="73"/>
      <c r="Q258" s="73"/>
      <c r="R258" s="73"/>
      <c r="S258" s="73"/>
      <c r="T258" s="73"/>
      <c r="U258" s="74"/>
    </row>
    <row r="259" spans="2:21" s="15" customFormat="1" x14ac:dyDescent="0.25">
      <c r="B259" s="72" t="s">
        <v>3471</v>
      </c>
      <c r="C259" s="73"/>
      <c r="D259" s="73"/>
      <c r="E259" s="73"/>
      <c r="F259" s="73"/>
      <c r="G259" s="73"/>
      <c r="H259" s="73"/>
      <c r="I259" s="73"/>
      <c r="J259" s="73"/>
      <c r="K259" s="73"/>
      <c r="L259" s="73"/>
      <c r="M259" s="73"/>
      <c r="N259" s="73"/>
      <c r="O259" s="73"/>
      <c r="P259" s="73"/>
      <c r="Q259" s="73"/>
      <c r="R259" s="73"/>
      <c r="S259" s="73"/>
      <c r="T259" s="73"/>
      <c r="U259" s="74"/>
    </row>
    <row r="260" spans="2:21" s="15" customFormat="1" x14ac:dyDescent="0.25">
      <c r="B260" s="72" t="s">
        <v>3181</v>
      </c>
      <c r="C260" s="73"/>
      <c r="D260" s="73"/>
      <c r="E260" s="73"/>
      <c r="F260" s="73"/>
      <c r="G260" s="73"/>
      <c r="H260" s="73"/>
      <c r="I260" s="73"/>
      <c r="J260" s="73"/>
      <c r="K260" s="73"/>
      <c r="L260" s="73"/>
      <c r="M260" s="73"/>
      <c r="N260" s="73"/>
      <c r="O260" s="73"/>
      <c r="P260" s="73"/>
      <c r="Q260" s="73"/>
      <c r="R260" s="73"/>
      <c r="S260" s="73"/>
      <c r="T260" s="73"/>
      <c r="U260" s="74"/>
    </row>
    <row r="261" spans="2:21" s="15" customFormat="1" x14ac:dyDescent="0.25">
      <c r="B261" s="72" t="s">
        <v>3085</v>
      </c>
      <c r="C261" s="73"/>
      <c r="D261" s="73"/>
      <c r="E261" s="73"/>
      <c r="F261" s="73"/>
      <c r="G261" s="73"/>
      <c r="H261" s="73"/>
      <c r="I261" s="73"/>
      <c r="J261" s="73"/>
      <c r="K261" s="73"/>
      <c r="L261" s="73"/>
      <c r="M261" s="73"/>
      <c r="N261" s="73"/>
      <c r="O261" s="73"/>
      <c r="P261" s="73"/>
      <c r="Q261" s="73"/>
      <c r="R261" s="73"/>
      <c r="S261" s="73"/>
      <c r="T261" s="73"/>
      <c r="U261" s="74"/>
    </row>
    <row r="262" spans="2:21" s="15" customFormat="1" x14ac:dyDescent="0.25">
      <c r="B262" s="72" t="s">
        <v>3319</v>
      </c>
      <c r="C262" s="73"/>
      <c r="D262" s="73"/>
      <c r="E262" s="73"/>
      <c r="F262" s="73"/>
      <c r="G262" s="73"/>
      <c r="H262" s="73"/>
      <c r="I262" s="73"/>
      <c r="J262" s="73"/>
      <c r="K262" s="73"/>
      <c r="L262" s="73"/>
      <c r="M262" s="73"/>
      <c r="N262" s="73"/>
      <c r="O262" s="73"/>
      <c r="P262" s="73"/>
      <c r="Q262" s="73"/>
      <c r="R262" s="73"/>
      <c r="S262" s="73"/>
      <c r="T262" s="73"/>
      <c r="U262" s="74"/>
    </row>
    <row r="263" spans="2:21" s="15" customFormat="1" x14ac:dyDescent="0.25">
      <c r="B263" s="72" t="s">
        <v>3472</v>
      </c>
      <c r="C263" s="73"/>
      <c r="D263" s="73"/>
      <c r="E263" s="73"/>
      <c r="F263" s="73"/>
      <c r="G263" s="73"/>
      <c r="H263" s="73"/>
      <c r="I263" s="73"/>
      <c r="J263" s="73"/>
      <c r="K263" s="73"/>
      <c r="L263" s="73"/>
      <c r="M263" s="73"/>
      <c r="N263" s="73"/>
      <c r="O263" s="73"/>
      <c r="P263" s="73"/>
      <c r="Q263" s="73"/>
      <c r="R263" s="73"/>
      <c r="S263" s="73"/>
      <c r="T263" s="73"/>
      <c r="U263" s="74"/>
    </row>
    <row r="264" spans="2:21" s="15" customFormat="1" x14ac:dyDescent="0.25">
      <c r="B264" s="72" t="s">
        <v>3181</v>
      </c>
      <c r="C264" s="73"/>
      <c r="D264" s="73"/>
      <c r="E264" s="73"/>
      <c r="F264" s="73"/>
      <c r="G264" s="73"/>
      <c r="H264" s="73"/>
      <c r="I264" s="73"/>
      <c r="J264" s="73"/>
      <c r="K264" s="73"/>
      <c r="L264" s="73"/>
      <c r="M264" s="73"/>
      <c r="N264" s="73"/>
      <c r="O264" s="73"/>
      <c r="P264" s="73"/>
      <c r="Q264" s="73"/>
      <c r="R264" s="73"/>
      <c r="S264" s="73"/>
      <c r="T264" s="73"/>
      <c r="U264" s="74"/>
    </row>
    <row r="265" spans="2:21" s="15" customFormat="1" x14ac:dyDescent="0.25">
      <c r="B265" s="72" t="s">
        <v>3085</v>
      </c>
      <c r="C265" s="73"/>
      <c r="D265" s="73"/>
      <c r="E265" s="73"/>
      <c r="F265" s="73"/>
      <c r="G265" s="73"/>
      <c r="H265" s="73"/>
      <c r="I265" s="73"/>
      <c r="J265" s="73"/>
      <c r="K265" s="73"/>
      <c r="L265" s="73"/>
      <c r="M265" s="73"/>
      <c r="N265" s="73"/>
      <c r="O265" s="73"/>
      <c r="P265" s="73"/>
      <c r="Q265" s="73"/>
      <c r="R265" s="73"/>
      <c r="S265" s="73"/>
      <c r="T265" s="73"/>
      <c r="U265" s="74"/>
    </row>
    <row r="266" spans="2:21" s="15" customFormat="1" x14ac:dyDescent="0.25">
      <c r="B266" s="72" t="s">
        <v>3319</v>
      </c>
      <c r="C266" s="73"/>
      <c r="D266" s="73"/>
      <c r="E266" s="73"/>
      <c r="F266" s="73"/>
      <c r="G266" s="73"/>
      <c r="H266" s="73"/>
      <c r="I266" s="73"/>
      <c r="J266" s="73"/>
      <c r="K266" s="73"/>
      <c r="L266" s="73"/>
      <c r="M266" s="73"/>
      <c r="N266" s="73"/>
      <c r="O266" s="73"/>
      <c r="P266" s="73"/>
      <c r="Q266" s="73"/>
      <c r="R266" s="73"/>
      <c r="S266" s="73"/>
      <c r="T266" s="73"/>
      <c r="U266" s="74"/>
    </row>
    <row r="267" spans="2:21" s="15" customFormat="1" x14ac:dyDescent="0.25">
      <c r="B267" s="72" t="s">
        <v>3449</v>
      </c>
      <c r="C267" s="73"/>
      <c r="D267" s="73"/>
      <c r="E267" s="73"/>
      <c r="F267" s="73"/>
      <c r="G267" s="73"/>
      <c r="H267" s="73"/>
      <c r="I267" s="73"/>
      <c r="J267" s="73"/>
      <c r="K267" s="73"/>
      <c r="L267" s="73"/>
      <c r="M267" s="73"/>
      <c r="N267" s="73"/>
      <c r="O267" s="73"/>
      <c r="P267" s="73"/>
      <c r="Q267" s="73"/>
      <c r="R267" s="73"/>
      <c r="S267" s="73"/>
      <c r="T267" s="73"/>
      <c r="U267" s="74"/>
    </row>
    <row r="268" spans="2:21" s="15" customFormat="1" x14ac:dyDescent="0.25">
      <c r="B268" s="72" t="s">
        <v>3083</v>
      </c>
      <c r="C268" s="73"/>
      <c r="D268" s="73"/>
      <c r="E268" s="73"/>
      <c r="F268" s="73"/>
      <c r="G268" s="73"/>
      <c r="H268" s="73"/>
      <c r="I268" s="73"/>
      <c r="J268" s="73"/>
      <c r="K268" s="73"/>
      <c r="L268" s="73"/>
      <c r="M268" s="73"/>
      <c r="N268" s="73"/>
      <c r="O268" s="73"/>
      <c r="P268" s="73"/>
      <c r="Q268" s="73"/>
      <c r="R268" s="73"/>
      <c r="S268" s="73"/>
      <c r="T268" s="73"/>
      <c r="U268" s="74"/>
    </row>
    <row r="269" spans="2:21" s="15" customFormat="1" x14ac:dyDescent="0.25">
      <c r="B269" s="72" t="s">
        <v>3208</v>
      </c>
      <c r="C269" s="73"/>
      <c r="D269" s="73"/>
      <c r="E269" s="73"/>
      <c r="F269" s="73"/>
      <c r="G269" s="73"/>
      <c r="H269" s="73"/>
      <c r="I269" s="73"/>
      <c r="J269" s="73"/>
      <c r="K269" s="73"/>
      <c r="L269" s="73"/>
      <c r="M269" s="73"/>
      <c r="N269" s="73"/>
      <c r="O269" s="73"/>
      <c r="P269" s="73"/>
      <c r="Q269" s="73"/>
      <c r="R269" s="73"/>
      <c r="S269" s="73"/>
      <c r="T269" s="73"/>
      <c r="U269" s="74"/>
    </row>
    <row r="270" spans="2:21" s="15" customFormat="1" x14ac:dyDescent="0.25">
      <c r="B270" s="72" t="s">
        <v>3209</v>
      </c>
      <c r="C270" s="73"/>
      <c r="D270" s="73"/>
      <c r="E270" s="73"/>
      <c r="F270" s="73"/>
      <c r="G270" s="73"/>
      <c r="H270" s="73"/>
      <c r="I270" s="73"/>
      <c r="J270" s="73"/>
      <c r="K270" s="73"/>
      <c r="L270" s="73"/>
      <c r="M270" s="73"/>
      <c r="N270" s="73"/>
      <c r="O270" s="73"/>
      <c r="P270" s="73"/>
      <c r="Q270" s="73"/>
      <c r="R270" s="73"/>
      <c r="S270" s="73"/>
      <c r="T270" s="73"/>
      <c r="U270" s="74"/>
    </row>
    <row r="271" spans="2:21" s="15" customFormat="1" x14ac:dyDescent="0.25">
      <c r="B271" s="72" t="s">
        <v>3210</v>
      </c>
      <c r="C271" s="73"/>
      <c r="D271" s="73"/>
      <c r="E271" s="73"/>
      <c r="F271" s="73"/>
      <c r="G271" s="73"/>
      <c r="H271" s="73"/>
      <c r="I271" s="73"/>
      <c r="J271" s="73"/>
      <c r="K271" s="73"/>
      <c r="L271" s="73"/>
      <c r="M271" s="73"/>
      <c r="N271" s="73"/>
      <c r="O271" s="73"/>
      <c r="P271" s="73"/>
      <c r="Q271" s="73"/>
      <c r="R271" s="73"/>
      <c r="S271" s="73"/>
      <c r="T271" s="73"/>
      <c r="U271" s="74"/>
    </row>
    <row r="272" spans="2:21" s="15" customFormat="1" x14ac:dyDescent="0.25">
      <c r="B272" s="75" t="s">
        <v>3211</v>
      </c>
      <c r="C272" s="76"/>
      <c r="D272" s="76"/>
      <c r="E272" s="76"/>
      <c r="F272" s="76"/>
      <c r="G272" s="76"/>
      <c r="H272" s="76"/>
      <c r="I272" s="76"/>
      <c r="J272" s="76"/>
      <c r="K272" s="76"/>
      <c r="L272" s="76"/>
      <c r="M272" s="76"/>
      <c r="N272" s="76"/>
      <c r="O272" s="76"/>
      <c r="P272" s="76"/>
      <c r="Q272" s="76"/>
      <c r="R272" s="76"/>
      <c r="S272" s="76"/>
      <c r="T272" s="76"/>
      <c r="U272" s="77"/>
    </row>
  </sheetData>
  <mergeCells count="269">
    <mergeCell ref="B269:U269"/>
    <mergeCell ref="B270:U270"/>
    <mergeCell ref="B271:U271"/>
    <mergeCell ref="B272:U272"/>
    <mergeCell ref="B264:U264"/>
    <mergeCell ref="B265:U265"/>
    <mergeCell ref="B266:U266"/>
    <mergeCell ref="B267:U267"/>
    <mergeCell ref="B268:U268"/>
    <mergeCell ref="B259:U259"/>
    <mergeCell ref="B260:U260"/>
    <mergeCell ref="B261:U261"/>
    <mergeCell ref="B262:U262"/>
    <mergeCell ref="B263:U263"/>
    <mergeCell ref="B254:U254"/>
    <mergeCell ref="B255:U255"/>
    <mergeCell ref="B256:U256"/>
    <mergeCell ref="B257:U257"/>
    <mergeCell ref="B258:U258"/>
    <mergeCell ref="B249:U249"/>
    <mergeCell ref="B250:U250"/>
    <mergeCell ref="B251:U251"/>
    <mergeCell ref="B252:U252"/>
    <mergeCell ref="B253:U253"/>
    <mergeCell ref="B244:U244"/>
    <mergeCell ref="B245:U245"/>
    <mergeCell ref="B246:U246"/>
    <mergeCell ref="B247:U247"/>
    <mergeCell ref="B248:U248"/>
    <mergeCell ref="B239:U239"/>
    <mergeCell ref="B240:U240"/>
    <mergeCell ref="B241:U241"/>
    <mergeCell ref="B242:U242"/>
    <mergeCell ref="B243:U243"/>
    <mergeCell ref="B234:U234"/>
    <mergeCell ref="B235:U235"/>
    <mergeCell ref="B236:U236"/>
    <mergeCell ref="B237:U237"/>
    <mergeCell ref="B238:U238"/>
    <mergeCell ref="B229:U229"/>
    <mergeCell ref="B230:U230"/>
    <mergeCell ref="B231:U231"/>
    <mergeCell ref="B232:U232"/>
    <mergeCell ref="B233:U233"/>
    <mergeCell ref="B224:U224"/>
    <mergeCell ref="B225:U225"/>
    <mergeCell ref="B226:U226"/>
    <mergeCell ref="B227:U227"/>
    <mergeCell ref="B228:U228"/>
    <mergeCell ref="B219:U219"/>
    <mergeCell ref="B220:U220"/>
    <mergeCell ref="B221:U221"/>
    <mergeCell ref="B222:U222"/>
    <mergeCell ref="B223:U223"/>
    <mergeCell ref="B214:U214"/>
    <mergeCell ref="B215:U215"/>
    <mergeCell ref="B216:U216"/>
    <mergeCell ref="B217:U217"/>
    <mergeCell ref="B218:U218"/>
    <mergeCell ref="B209:U209"/>
    <mergeCell ref="B210:U210"/>
    <mergeCell ref="B211:U211"/>
    <mergeCell ref="B212:U212"/>
    <mergeCell ref="B213:U213"/>
    <mergeCell ref="B204:U204"/>
    <mergeCell ref="B205:U205"/>
    <mergeCell ref="B206:U206"/>
    <mergeCell ref="B207:U207"/>
    <mergeCell ref="B208:U208"/>
    <mergeCell ref="B199:U199"/>
    <mergeCell ref="B200:U200"/>
    <mergeCell ref="B201:U201"/>
    <mergeCell ref="B202:U202"/>
    <mergeCell ref="B203:U203"/>
    <mergeCell ref="B194:U194"/>
    <mergeCell ref="B195:U195"/>
    <mergeCell ref="B196:U196"/>
    <mergeCell ref="B197:U197"/>
    <mergeCell ref="B198:U198"/>
    <mergeCell ref="B189:U189"/>
    <mergeCell ref="B190:U190"/>
    <mergeCell ref="B191:U191"/>
    <mergeCell ref="B192:U192"/>
    <mergeCell ref="B193:U193"/>
    <mergeCell ref="B184:U184"/>
    <mergeCell ref="B185:U185"/>
    <mergeCell ref="B186:U186"/>
    <mergeCell ref="B187:U187"/>
    <mergeCell ref="B188:U188"/>
    <mergeCell ref="B179:U179"/>
    <mergeCell ref="B180:U180"/>
    <mergeCell ref="B181:U181"/>
    <mergeCell ref="B182:U182"/>
    <mergeCell ref="B183:U183"/>
    <mergeCell ref="B174:U174"/>
    <mergeCell ref="B175:U175"/>
    <mergeCell ref="B176:U176"/>
    <mergeCell ref="B177:U177"/>
    <mergeCell ref="B178:U178"/>
    <mergeCell ref="B169:U169"/>
    <mergeCell ref="B170:U170"/>
    <mergeCell ref="B171:U171"/>
    <mergeCell ref="B172:U172"/>
    <mergeCell ref="B173:U173"/>
    <mergeCell ref="B164:U164"/>
    <mergeCell ref="B165:U165"/>
    <mergeCell ref="B166:U166"/>
    <mergeCell ref="B167:U167"/>
    <mergeCell ref="B168:U168"/>
    <mergeCell ref="B159:U159"/>
    <mergeCell ref="B160:U160"/>
    <mergeCell ref="B161:U161"/>
    <mergeCell ref="B162:U162"/>
    <mergeCell ref="B163:U163"/>
    <mergeCell ref="B154:U154"/>
    <mergeCell ref="B155:U155"/>
    <mergeCell ref="B156:U156"/>
    <mergeCell ref="B157:U157"/>
    <mergeCell ref="B158:U158"/>
    <mergeCell ref="B149:U149"/>
    <mergeCell ref="B150:U150"/>
    <mergeCell ref="B151:U151"/>
    <mergeCell ref="B152:U152"/>
    <mergeCell ref="B153:U153"/>
    <mergeCell ref="B144:U144"/>
    <mergeCell ref="B145:U145"/>
    <mergeCell ref="B146:U146"/>
    <mergeCell ref="B147:U147"/>
    <mergeCell ref="B148:U148"/>
    <mergeCell ref="B139:U139"/>
    <mergeCell ref="B140:U140"/>
    <mergeCell ref="B141:U141"/>
    <mergeCell ref="B142:U142"/>
    <mergeCell ref="B143:U143"/>
    <mergeCell ref="B134:U134"/>
    <mergeCell ref="B135:U135"/>
    <mergeCell ref="B136:U136"/>
    <mergeCell ref="B137:U137"/>
    <mergeCell ref="B138:U138"/>
    <mergeCell ref="B129:U129"/>
    <mergeCell ref="B130:U130"/>
    <mergeCell ref="B131:U131"/>
    <mergeCell ref="B132:U132"/>
    <mergeCell ref="B133:U133"/>
    <mergeCell ref="B124:U124"/>
    <mergeCell ref="B125:U125"/>
    <mergeCell ref="B126:U126"/>
    <mergeCell ref="B127:U127"/>
    <mergeCell ref="B128:U128"/>
    <mergeCell ref="B119:U119"/>
    <mergeCell ref="B120:U120"/>
    <mergeCell ref="B121:U121"/>
    <mergeCell ref="B122:U122"/>
    <mergeCell ref="B123:U123"/>
    <mergeCell ref="B114:U114"/>
    <mergeCell ref="B115:U115"/>
    <mergeCell ref="B116:U116"/>
    <mergeCell ref="B117:U117"/>
    <mergeCell ref="B118:U118"/>
    <mergeCell ref="B109:U109"/>
    <mergeCell ref="B110:U110"/>
    <mergeCell ref="B111:U111"/>
    <mergeCell ref="B112:U112"/>
    <mergeCell ref="B113:U113"/>
    <mergeCell ref="B104:U104"/>
    <mergeCell ref="B105:U105"/>
    <mergeCell ref="B106:U106"/>
    <mergeCell ref="B107:U107"/>
    <mergeCell ref="B108:U108"/>
    <mergeCell ref="B99:U99"/>
    <mergeCell ref="B100:U100"/>
    <mergeCell ref="B101:U101"/>
    <mergeCell ref="B102:U102"/>
    <mergeCell ref="B103:U103"/>
    <mergeCell ref="B94:U94"/>
    <mergeCell ref="B95:U95"/>
    <mergeCell ref="B96:U96"/>
    <mergeCell ref="B97:U97"/>
    <mergeCell ref="B98:U98"/>
    <mergeCell ref="B89:U89"/>
    <mergeCell ref="B90:U90"/>
    <mergeCell ref="B91:U91"/>
    <mergeCell ref="B92:U92"/>
    <mergeCell ref="B93:U93"/>
    <mergeCell ref="B84:U84"/>
    <mergeCell ref="B85:U85"/>
    <mergeCell ref="B86:U86"/>
    <mergeCell ref="B87:U87"/>
    <mergeCell ref="B88:U88"/>
    <mergeCell ref="B79:U79"/>
    <mergeCell ref="B80:U80"/>
    <mergeCell ref="B81:U81"/>
    <mergeCell ref="B82:U82"/>
    <mergeCell ref="B83:U83"/>
    <mergeCell ref="B74:U74"/>
    <mergeCell ref="B75:U75"/>
    <mergeCell ref="B76:U76"/>
    <mergeCell ref="B77:U77"/>
    <mergeCell ref="B78:U78"/>
    <mergeCell ref="B69:U69"/>
    <mergeCell ref="B70:U70"/>
    <mergeCell ref="B71:U71"/>
    <mergeCell ref="B72:U72"/>
    <mergeCell ref="B73:U73"/>
    <mergeCell ref="B64:U64"/>
    <mergeCell ref="B65:U65"/>
    <mergeCell ref="B66:U66"/>
    <mergeCell ref="B67:U67"/>
    <mergeCell ref="B68:U68"/>
    <mergeCell ref="B59:U59"/>
    <mergeCell ref="B60:U60"/>
    <mergeCell ref="B61:U61"/>
    <mergeCell ref="B62:U62"/>
    <mergeCell ref="B63:U63"/>
    <mergeCell ref="B54:U54"/>
    <mergeCell ref="B55:U55"/>
    <mergeCell ref="B56:U56"/>
    <mergeCell ref="B57:U57"/>
    <mergeCell ref="B58:U58"/>
    <mergeCell ref="B49:U49"/>
    <mergeCell ref="B50:U50"/>
    <mergeCell ref="B51:U51"/>
    <mergeCell ref="B52:U52"/>
    <mergeCell ref="B53:U53"/>
    <mergeCell ref="B44:U44"/>
    <mergeCell ref="B45:U45"/>
    <mergeCell ref="B46:U46"/>
    <mergeCell ref="B47:U47"/>
    <mergeCell ref="B48:U48"/>
    <mergeCell ref="B39:U39"/>
    <mergeCell ref="B40:U40"/>
    <mergeCell ref="B41:U41"/>
    <mergeCell ref="B42:U42"/>
    <mergeCell ref="B43:U43"/>
    <mergeCell ref="B34:U34"/>
    <mergeCell ref="B35:U35"/>
    <mergeCell ref="B36:U36"/>
    <mergeCell ref="B37:U37"/>
    <mergeCell ref="B38:U38"/>
    <mergeCell ref="B29:U29"/>
    <mergeCell ref="B30:U30"/>
    <mergeCell ref="B31:U31"/>
    <mergeCell ref="B32:U32"/>
    <mergeCell ref="B33:U33"/>
    <mergeCell ref="B24:U24"/>
    <mergeCell ref="B25:U25"/>
    <mergeCell ref="B26:U26"/>
    <mergeCell ref="B27:U27"/>
    <mergeCell ref="B28:U28"/>
    <mergeCell ref="B19:U19"/>
    <mergeCell ref="B20:U20"/>
    <mergeCell ref="B21:U21"/>
    <mergeCell ref="B22:U22"/>
    <mergeCell ref="B23:U23"/>
    <mergeCell ref="B14:U14"/>
    <mergeCell ref="B15:U15"/>
    <mergeCell ref="B16:U16"/>
    <mergeCell ref="B17:U17"/>
    <mergeCell ref="B18:U18"/>
    <mergeCell ref="B9:U9"/>
    <mergeCell ref="B10:U10"/>
    <mergeCell ref="B11:U11"/>
    <mergeCell ref="B12:U12"/>
    <mergeCell ref="B13:U13"/>
    <mergeCell ref="A1:AD1"/>
    <mergeCell ref="B5:U5"/>
    <mergeCell ref="B6:U6"/>
    <mergeCell ref="B7:U7"/>
    <mergeCell ref="B8:U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87"/>
  <sheetViews>
    <sheetView workbookViewId="0"/>
  </sheetViews>
  <sheetFormatPr defaultRowHeight="15" x14ac:dyDescent="0.25"/>
  <cols>
    <col min="1" max="21" width="9.140625" customWidth="1"/>
  </cols>
  <sheetData>
    <row r="1" spans="1:30" s="1" customFormat="1" ht="19.5" x14ac:dyDescent="0.3">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5" spans="1:30" s="15" customFormat="1" x14ac:dyDescent="0.25">
      <c r="B5" s="69" t="s">
        <v>3040</v>
      </c>
      <c r="C5" s="70"/>
      <c r="D5" s="70"/>
      <c r="E5" s="70"/>
      <c r="F5" s="70"/>
      <c r="G5" s="70"/>
      <c r="H5" s="70"/>
      <c r="I5" s="70"/>
      <c r="J5" s="70"/>
      <c r="K5" s="70"/>
      <c r="L5" s="70"/>
      <c r="M5" s="70"/>
      <c r="N5" s="70"/>
      <c r="O5" s="70"/>
      <c r="P5" s="70"/>
      <c r="Q5" s="70"/>
      <c r="R5" s="70"/>
      <c r="S5" s="70"/>
      <c r="T5" s="70"/>
      <c r="U5" s="71"/>
    </row>
    <row r="6" spans="1:30" s="15" customFormat="1" x14ac:dyDescent="0.25">
      <c r="B6" s="72" t="s">
        <v>3041</v>
      </c>
      <c r="C6" s="73"/>
      <c r="D6" s="73"/>
      <c r="E6" s="73"/>
      <c r="F6" s="73"/>
      <c r="G6" s="73"/>
      <c r="H6" s="73"/>
      <c r="I6" s="73"/>
      <c r="J6" s="73"/>
      <c r="K6" s="73"/>
      <c r="L6" s="73"/>
      <c r="M6" s="73"/>
      <c r="N6" s="73"/>
      <c r="O6" s="73"/>
      <c r="P6" s="73"/>
      <c r="Q6" s="73"/>
      <c r="R6" s="73"/>
      <c r="S6" s="73"/>
      <c r="T6" s="73"/>
      <c r="U6" s="74"/>
    </row>
    <row r="7" spans="1:30" s="15" customFormat="1" x14ac:dyDescent="0.25">
      <c r="B7" s="72" t="s">
        <v>3042</v>
      </c>
      <c r="C7" s="73"/>
      <c r="D7" s="73"/>
      <c r="E7" s="73"/>
      <c r="F7" s="73"/>
      <c r="G7" s="73"/>
      <c r="H7" s="73"/>
      <c r="I7" s="73"/>
      <c r="J7" s="73"/>
      <c r="K7" s="73"/>
      <c r="L7" s="73"/>
      <c r="M7" s="73"/>
      <c r="N7" s="73"/>
      <c r="O7" s="73"/>
      <c r="P7" s="73"/>
      <c r="Q7" s="73"/>
      <c r="R7" s="73"/>
      <c r="S7" s="73"/>
      <c r="T7" s="73"/>
      <c r="U7" s="74"/>
    </row>
    <row r="8" spans="1:30" s="15" customFormat="1" x14ac:dyDescent="0.25">
      <c r="B8" s="72" t="s">
        <v>3043</v>
      </c>
      <c r="C8" s="73"/>
      <c r="D8" s="73"/>
      <c r="E8" s="73"/>
      <c r="F8" s="73"/>
      <c r="G8" s="73"/>
      <c r="H8" s="73"/>
      <c r="I8" s="73"/>
      <c r="J8" s="73"/>
      <c r="K8" s="73"/>
      <c r="L8" s="73"/>
      <c r="M8" s="73"/>
      <c r="N8" s="73"/>
      <c r="O8" s="73"/>
      <c r="P8" s="73"/>
      <c r="Q8" s="73"/>
      <c r="R8" s="73"/>
      <c r="S8" s="73"/>
      <c r="T8" s="73"/>
      <c r="U8" s="74"/>
    </row>
    <row r="9" spans="1:30" s="15" customFormat="1" x14ac:dyDescent="0.25">
      <c r="B9" s="72" t="s">
        <v>3044</v>
      </c>
      <c r="C9" s="73"/>
      <c r="D9" s="73"/>
      <c r="E9" s="73"/>
      <c r="F9" s="73"/>
      <c r="G9" s="73"/>
      <c r="H9" s="73"/>
      <c r="I9" s="73"/>
      <c r="J9" s="73"/>
      <c r="K9" s="73"/>
      <c r="L9" s="73"/>
      <c r="M9" s="73"/>
      <c r="N9" s="73"/>
      <c r="O9" s="73"/>
      <c r="P9" s="73"/>
      <c r="Q9" s="73"/>
      <c r="R9" s="73"/>
      <c r="S9" s="73"/>
      <c r="T9" s="73"/>
      <c r="U9" s="74"/>
    </row>
    <row r="10" spans="1:30" s="15" customFormat="1" x14ac:dyDescent="0.25">
      <c r="B10" s="72" t="s">
        <v>3045</v>
      </c>
      <c r="C10" s="73"/>
      <c r="D10" s="73"/>
      <c r="E10" s="73"/>
      <c r="F10" s="73"/>
      <c r="G10" s="73"/>
      <c r="H10" s="73"/>
      <c r="I10" s="73"/>
      <c r="J10" s="73"/>
      <c r="K10" s="73"/>
      <c r="L10" s="73"/>
      <c r="M10" s="73"/>
      <c r="N10" s="73"/>
      <c r="O10" s="73"/>
      <c r="P10" s="73"/>
      <c r="Q10" s="73"/>
      <c r="R10" s="73"/>
      <c r="S10" s="73"/>
      <c r="T10" s="73"/>
      <c r="U10" s="74"/>
    </row>
    <row r="11" spans="1:30" s="15" customFormat="1" x14ac:dyDescent="0.25">
      <c r="B11" s="72" t="s">
        <v>3473</v>
      </c>
      <c r="C11" s="73"/>
      <c r="D11" s="73"/>
      <c r="E11" s="73"/>
      <c r="F11" s="73"/>
      <c r="G11" s="73"/>
      <c r="H11" s="73"/>
      <c r="I11" s="73"/>
      <c r="J11" s="73"/>
      <c r="K11" s="73"/>
      <c r="L11" s="73"/>
      <c r="M11" s="73"/>
      <c r="N11" s="73"/>
      <c r="O11" s="73"/>
      <c r="P11" s="73"/>
      <c r="Q11" s="73"/>
      <c r="R11" s="73"/>
      <c r="S11" s="73"/>
      <c r="T11" s="73"/>
      <c r="U11" s="74"/>
    </row>
    <row r="12" spans="1:30" s="15" customFormat="1" x14ac:dyDescent="0.25">
      <c r="B12" s="72" t="s">
        <v>3474</v>
      </c>
      <c r="C12" s="73"/>
      <c r="D12" s="73"/>
      <c r="E12" s="73"/>
      <c r="F12" s="73"/>
      <c r="G12" s="73"/>
      <c r="H12" s="73"/>
      <c r="I12" s="73"/>
      <c r="J12" s="73"/>
      <c r="K12" s="73"/>
      <c r="L12" s="73"/>
      <c r="M12" s="73"/>
      <c r="N12" s="73"/>
      <c r="O12" s="73"/>
      <c r="P12" s="73"/>
      <c r="Q12" s="73"/>
      <c r="R12" s="73"/>
      <c r="S12" s="73"/>
      <c r="T12" s="73"/>
      <c r="U12" s="74"/>
    </row>
    <row r="13" spans="1:30" s="15" customFormat="1" x14ac:dyDescent="0.25">
      <c r="B13" s="72" t="s">
        <v>3048</v>
      </c>
      <c r="C13" s="73"/>
      <c r="D13" s="73"/>
      <c r="E13" s="73"/>
      <c r="F13" s="73"/>
      <c r="G13" s="73"/>
      <c r="H13" s="73"/>
      <c r="I13" s="73"/>
      <c r="J13" s="73"/>
      <c r="K13" s="73"/>
      <c r="L13" s="73"/>
      <c r="M13" s="73"/>
      <c r="N13" s="73"/>
      <c r="O13" s="73"/>
      <c r="P13" s="73"/>
      <c r="Q13" s="73"/>
      <c r="R13" s="73"/>
      <c r="S13" s="73"/>
      <c r="T13" s="73"/>
      <c r="U13" s="74"/>
    </row>
    <row r="14" spans="1:30" s="15" customFormat="1" x14ac:dyDescent="0.25">
      <c r="B14" s="72" t="s">
        <v>3049</v>
      </c>
      <c r="C14" s="73"/>
      <c r="D14" s="73"/>
      <c r="E14" s="73"/>
      <c r="F14" s="73"/>
      <c r="G14" s="73"/>
      <c r="H14" s="73"/>
      <c r="I14" s="73"/>
      <c r="J14" s="73"/>
      <c r="K14" s="73"/>
      <c r="L14" s="73"/>
      <c r="M14" s="73"/>
      <c r="N14" s="73"/>
      <c r="O14" s="73"/>
      <c r="P14" s="73"/>
      <c r="Q14" s="73"/>
      <c r="R14" s="73"/>
      <c r="S14" s="73"/>
      <c r="T14" s="73"/>
      <c r="U14" s="74"/>
    </row>
    <row r="15" spans="1:30" s="15" customFormat="1" x14ac:dyDescent="0.25">
      <c r="B15" s="72" t="s">
        <v>3050</v>
      </c>
      <c r="C15" s="73"/>
      <c r="D15" s="73"/>
      <c r="E15" s="73"/>
      <c r="F15" s="73"/>
      <c r="G15" s="73"/>
      <c r="H15" s="73"/>
      <c r="I15" s="73"/>
      <c r="J15" s="73"/>
      <c r="K15" s="73"/>
      <c r="L15" s="73"/>
      <c r="M15" s="73"/>
      <c r="N15" s="73"/>
      <c r="O15" s="73"/>
      <c r="P15" s="73"/>
      <c r="Q15" s="73"/>
      <c r="R15" s="73"/>
      <c r="S15" s="73"/>
      <c r="T15" s="73"/>
      <c r="U15" s="74"/>
    </row>
    <row r="16" spans="1:30" s="15" customFormat="1" x14ac:dyDescent="0.25">
      <c r="B16" s="72" t="s">
        <v>3051</v>
      </c>
      <c r="C16" s="73"/>
      <c r="D16" s="73"/>
      <c r="E16" s="73"/>
      <c r="F16" s="73"/>
      <c r="G16" s="73"/>
      <c r="H16" s="73"/>
      <c r="I16" s="73"/>
      <c r="J16" s="73"/>
      <c r="K16" s="73"/>
      <c r="L16" s="73"/>
      <c r="M16" s="73"/>
      <c r="N16" s="73"/>
      <c r="O16" s="73"/>
      <c r="P16" s="73"/>
      <c r="Q16" s="73"/>
      <c r="R16" s="73"/>
      <c r="S16" s="73"/>
      <c r="T16" s="73"/>
      <c r="U16" s="74"/>
    </row>
    <row r="17" spans="2:21" s="15" customFormat="1" x14ac:dyDescent="0.25">
      <c r="B17" s="72" t="s">
        <v>3052</v>
      </c>
      <c r="C17" s="73"/>
      <c r="D17" s="73"/>
      <c r="E17" s="73"/>
      <c r="F17" s="73"/>
      <c r="G17" s="73"/>
      <c r="H17" s="73"/>
      <c r="I17" s="73"/>
      <c r="J17" s="73"/>
      <c r="K17" s="73"/>
      <c r="L17" s="73"/>
      <c r="M17" s="73"/>
      <c r="N17" s="73"/>
      <c r="O17" s="73"/>
      <c r="P17" s="73"/>
      <c r="Q17" s="73"/>
      <c r="R17" s="73"/>
      <c r="S17" s="73"/>
      <c r="T17" s="73"/>
      <c r="U17" s="74"/>
    </row>
    <row r="18" spans="2:21" s="15" customFormat="1" x14ac:dyDescent="0.25">
      <c r="B18" s="72" t="s">
        <v>3475</v>
      </c>
      <c r="C18" s="73"/>
      <c r="D18" s="73"/>
      <c r="E18" s="73"/>
      <c r="F18" s="73"/>
      <c r="G18" s="73"/>
      <c r="H18" s="73"/>
      <c r="I18" s="73"/>
      <c r="J18" s="73"/>
      <c r="K18" s="73"/>
      <c r="L18" s="73"/>
      <c r="M18" s="73"/>
      <c r="N18" s="73"/>
      <c r="O18" s="73"/>
      <c r="P18" s="73"/>
      <c r="Q18" s="73"/>
      <c r="R18" s="73"/>
      <c r="S18" s="73"/>
      <c r="T18" s="73"/>
      <c r="U18" s="74"/>
    </row>
    <row r="19" spans="2:21" s="15" customFormat="1" x14ac:dyDescent="0.25">
      <c r="B19" s="72" t="s">
        <v>3216</v>
      </c>
      <c r="C19" s="73"/>
      <c r="D19" s="73"/>
      <c r="E19" s="73"/>
      <c r="F19" s="73"/>
      <c r="G19" s="73"/>
      <c r="H19" s="73"/>
      <c r="I19" s="73"/>
      <c r="J19" s="73"/>
      <c r="K19" s="73"/>
      <c r="L19" s="73"/>
      <c r="M19" s="73"/>
      <c r="N19" s="73"/>
      <c r="O19" s="73"/>
      <c r="P19" s="73"/>
      <c r="Q19" s="73"/>
      <c r="R19" s="73"/>
      <c r="S19" s="73"/>
      <c r="T19" s="73"/>
      <c r="U19" s="74"/>
    </row>
    <row r="20" spans="2:21" s="15" customFormat="1" x14ac:dyDescent="0.25">
      <c r="B20" s="72" t="s">
        <v>3476</v>
      </c>
      <c r="C20" s="73"/>
      <c r="D20" s="73"/>
      <c r="E20" s="73"/>
      <c r="F20" s="73"/>
      <c r="G20" s="73"/>
      <c r="H20" s="73"/>
      <c r="I20" s="73"/>
      <c r="J20" s="73"/>
      <c r="K20" s="73"/>
      <c r="L20" s="73"/>
      <c r="M20" s="73"/>
      <c r="N20" s="73"/>
      <c r="O20" s="73"/>
      <c r="P20" s="73"/>
      <c r="Q20" s="73"/>
      <c r="R20" s="73"/>
      <c r="S20" s="73"/>
      <c r="T20" s="73"/>
      <c r="U20" s="74"/>
    </row>
    <row r="21" spans="2:21" s="15" customFormat="1" x14ac:dyDescent="0.25">
      <c r="B21" s="72" t="s">
        <v>3420</v>
      </c>
      <c r="C21" s="73"/>
      <c r="D21" s="73"/>
      <c r="E21" s="73"/>
      <c r="F21" s="73"/>
      <c r="G21" s="73"/>
      <c r="H21" s="73"/>
      <c r="I21" s="73"/>
      <c r="J21" s="73"/>
      <c r="K21" s="73"/>
      <c r="L21" s="73"/>
      <c r="M21" s="73"/>
      <c r="N21" s="73"/>
      <c r="O21" s="73"/>
      <c r="P21" s="73"/>
      <c r="Q21" s="73"/>
      <c r="R21" s="73"/>
      <c r="S21" s="73"/>
      <c r="T21" s="73"/>
      <c r="U21" s="74"/>
    </row>
    <row r="22" spans="2:21" s="15" customFormat="1" x14ac:dyDescent="0.25">
      <c r="B22" s="72" t="s">
        <v>3058</v>
      </c>
      <c r="C22" s="73"/>
      <c r="D22" s="73"/>
      <c r="E22" s="73"/>
      <c r="F22" s="73"/>
      <c r="G22" s="73"/>
      <c r="H22" s="73"/>
      <c r="I22" s="73"/>
      <c r="J22" s="73"/>
      <c r="K22" s="73"/>
      <c r="L22" s="73"/>
      <c r="M22" s="73"/>
      <c r="N22" s="73"/>
      <c r="O22" s="73"/>
      <c r="P22" s="73"/>
      <c r="Q22" s="73"/>
      <c r="R22" s="73"/>
      <c r="S22" s="73"/>
      <c r="T22" s="73"/>
      <c r="U22" s="74"/>
    </row>
    <row r="23" spans="2:21" s="15" customFormat="1" x14ac:dyDescent="0.25">
      <c r="B23" s="72" t="s">
        <v>3059</v>
      </c>
      <c r="C23" s="73"/>
      <c r="D23" s="73"/>
      <c r="E23" s="73"/>
      <c r="F23" s="73"/>
      <c r="G23" s="73"/>
      <c r="H23" s="73"/>
      <c r="I23" s="73"/>
      <c r="J23" s="73"/>
      <c r="K23" s="73"/>
      <c r="L23" s="73"/>
      <c r="M23" s="73"/>
      <c r="N23" s="73"/>
      <c r="O23" s="73"/>
      <c r="P23" s="73"/>
      <c r="Q23" s="73"/>
      <c r="R23" s="73"/>
      <c r="S23" s="73"/>
      <c r="T23" s="73"/>
      <c r="U23" s="74"/>
    </row>
    <row r="24" spans="2:21" s="15" customFormat="1" x14ac:dyDescent="0.25">
      <c r="B24" s="72" t="s">
        <v>3477</v>
      </c>
      <c r="C24" s="73"/>
      <c r="D24" s="73"/>
      <c r="E24" s="73"/>
      <c r="F24" s="73"/>
      <c r="G24" s="73"/>
      <c r="H24" s="73"/>
      <c r="I24" s="73"/>
      <c r="J24" s="73"/>
      <c r="K24" s="73"/>
      <c r="L24" s="73"/>
      <c r="M24" s="73"/>
      <c r="N24" s="73"/>
      <c r="O24" s="73"/>
      <c r="P24" s="73"/>
      <c r="Q24" s="73"/>
      <c r="R24" s="73"/>
      <c r="S24" s="73"/>
      <c r="T24" s="73"/>
      <c r="U24" s="74"/>
    </row>
    <row r="25" spans="2:21" s="15" customFormat="1" x14ac:dyDescent="0.25">
      <c r="B25" s="72" t="s">
        <v>3478</v>
      </c>
      <c r="C25" s="73"/>
      <c r="D25" s="73"/>
      <c r="E25" s="73"/>
      <c r="F25" s="73"/>
      <c r="G25" s="73"/>
      <c r="H25" s="73"/>
      <c r="I25" s="73"/>
      <c r="J25" s="73"/>
      <c r="K25" s="73"/>
      <c r="L25" s="73"/>
      <c r="M25" s="73"/>
      <c r="N25" s="73"/>
      <c r="O25" s="73"/>
      <c r="P25" s="73"/>
      <c r="Q25" s="73"/>
      <c r="R25" s="73"/>
      <c r="S25" s="73"/>
      <c r="T25" s="73"/>
      <c r="U25" s="74"/>
    </row>
    <row r="26" spans="2:21" s="15" customFormat="1" x14ac:dyDescent="0.25">
      <c r="B26" s="72" t="s">
        <v>3479</v>
      </c>
      <c r="C26" s="73"/>
      <c r="D26" s="73"/>
      <c r="E26" s="73"/>
      <c r="F26" s="73"/>
      <c r="G26" s="73"/>
      <c r="H26" s="73"/>
      <c r="I26" s="73"/>
      <c r="J26" s="73"/>
      <c r="K26" s="73"/>
      <c r="L26" s="73"/>
      <c r="M26" s="73"/>
      <c r="N26" s="73"/>
      <c r="O26" s="73"/>
      <c r="P26" s="73"/>
      <c r="Q26" s="73"/>
      <c r="R26" s="73"/>
      <c r="S26" s="73"/>
      <c r="T26" s="73"/>
      <c r="U26" s="74"/>
    </row>
    <row r="27" spans="2:21" s="15" customFormat="1" x14ac:dyDescent="0.25">
      <c r="B27" s="72" t="s">
        <v>3221</v>
      </c>
      <c r="C27" s="73"/>
      <c r="D27" s="73"/>
      <c r="E27" s="73"/>
      <c r="F27" s="73"/>
      <c r="G27" s="73"/>
      <c r="H27" s="73"/>
      <c r="I27" s="73"/>
      <c r="J27" s="73"/>
      <c r="K27" s="73"/>
      <c r="L27" s="73"/>
      <c r="M27" s="73"/>
      <c r="N27" s="73"/>
      <c r="O27" s="73"/>
      <c r="P27" s="73"/>
      <c r="Q27" s="73"/>
      <c r="R27" s="73"/>
      <c r="S27" s="73"/>
      <c r="T27" s="73"/>
      <c r="U27" s="74"/>
    </row>
    <row r="28" spans="2:21" s="15" customFormat="1" x14ac:dyDescent="0.25">
      <c r="B28" s="72" t="s">
        <v>3222</v>
      </c>
      <c r="C28" s="73"/>
      <c r="D28" s="73"/>
      <c r="E28" s="73"/>
      <c r="F28" s="73"/>
      <c r="G28" s="73"/>
      <c r="H28" s="73"/>
      <c r="I28" s="73"/>
      <c r="J28" s="73"/>
      <c r="K28" s="73"/>
      <c r="L28" s="73"/>
      <c r="M28" s="73"/>
      <c r="N28" s="73"/>
      <c r="O28" s="73"/>
      <c r="P28" s="73"/>
      <c r="Q28" s="73"/>
      <c r="R28" s="73"/>
      <c r="S28" s="73"/>
      <c r="T28" s="73"/>
      <c r="U28" s="74"/>
    </row>
    <row r="29" spans="2:21" s="15" customFormat="1" x14ac:dyDescent="0.25">
      <c r="B29" s="72" t="s">
        <v>3480</v>
      </c>
      <c r="C29" s="73"/>
      <c r="D29" s="73"/>
      <c r="E29" s="73"/>
      <c r="F29" s="73"/>
      <c r="G29" s="73"/>
      <c r="H29" s="73"/>
      <c r="I29" s="73"/>
      <c r="J29" s="73"/>
      <c r="K29" s="73"/>
      <c r="L29" s="73"/>
      <c r="M29" s="73"/>
      <c r="N29" s="73"/>
      <c r="O29" s="73"/>
      <c r="P29" s="73"/>
      <c r="Q29" s="73"/>
      <c r="R29" s="73"/>
      <c r="S29" s="73"/>
      <c r="T29" s="73"/>
      <c r="U29" s="74"/>
    </row>
    <row r="30" spans="2:21" s="15" customFormat="1" x14ac:dyDescent="0.25">
      <c r="B30" s="72" t="s">
        <v>3424</v>
      </c>
      <c r="C30" s="73"/>
      <c r="D30" s="73"/>
      <c r="E30" s="73"/>
      <c r="F30" s="73"/>
      <c r="G30" s="73"/>
      <c r="H30" s="73"/>
      <c r="I30" s="73"/>
      <c r="J30" s="73"/>
      <c r="K30" s="73"/>
      <c r="L30" s="73"/>
      <c r="M30" s="73"/>
      <c r="N30" s="73"/>
      <c r="O30" s="73"/>
      <c r="P30" s="73"/>
      <c r="Q30" s="73"/>
      <c r="R30" s="73"/>
      <c r="S30" s="73"/>
      <c r="T30" s="73"/>
      <c r="U30" s="74"/>
    </row>
    <row r="31" spans="2:21" s="15" customFormat="1" x14ac:dyDescent="0.25">
      <c r="B31" s="72" t="s">
        <v>3066</v>
      </c>
      <c r="C31" s="73"/>
      <c r="D31" s="73"/>
      <c r="E31" s="73"/>
      <c r="F31" s="73"/>
      <c r="G31" s="73"/>
      <c r="H31" s="73"/>
      <c r="I31" s="73"/>
      <c r="J31" s="73"/>
      <c r="K31" s="73"/>
      <c r="L31" s="73"/>
      <c r="M31" s="73"/>
      <c r="N31" s="73"/>
      <c r="O31" s="73"/>
      <c r="P31" s="73"/>
      <c r="Q31" s="73"/>
      <c r="R31" s="73"/>
      <c r="S31" s="73"/>
      <c r="T31" s="73"/>
      <c r="U31" s="74"/>
    </row>
    <row r="32" spans="2:21" s="15" customFormat="1" x14ac:dyDescent="0.25">
      <c r="B32" s="72" t="s">
        <v>3481</v>
      </c>
      <c r="C32" s="73"/>
      <c r="D32" s="73"/>
      <c r="E32" s="73"/>
      <c r="F32" s="73"/>
      <c r="G32" s="73"/>
      <c r="H32" s="73"/>
      <c r="I32" s="73"/>
      <c r="J32" s="73"/>
      <c r="K32" s="73"/>
      <c r="L32" s="73"/>
      <c r="M32" s="73"/>
      <c r="N32" s="73"/>
      <c r="O32" s="73"/>
      <c r="P32" s="73"/>
      <c r="Q32" s="73"/>
      <c r="R32" s="73"/>
      <c r="S32" s="73"/>
      <c r="T32" s="73"/>
      <c r="U32" s="74"/>
    </row>
    <row r="33" spans="2:21" s="15" customFormat="1" x14ac:dyDescent="0.25">
      <c r="B33" s="72" t="s">
        <v>3482</v>
      </c>
      <c r="C33" s="73"/>
      <c r="D33" s="73"/>
      <c r="E33" s="73"/>
      <c r="F33" s="73"/>
      <c r="G33" s="73"/>
      <c r="H33" s="73"/>
      <c r="I33" s="73"/>
      <c r="J33" s="73"/>
      <c r="K33" s="73"/>
      <c r="L33" s="73"/>
      <c r="M33" s="73"/>
      <c r="N33" s="73"/>
      <c r="O33" s="73"/>
      <c r="P33" s="73"/>
      <c r="Q33" s="73"/>
      <c r="R33" s="73"/>
      <c r="S33" s="73"/>
      <c r="T33" s="73"/>
      <c r="U33" s="74"/>
    </row>
    <row r="34" spans="2:21" s="15" customFormat="1" x14ac:dyDescent="0.25">
      <c r="B34" s="72" t="s">
        <v>3425</v>
      </c>
      <c r="C34" s="73"/>
      <c r="D34" s="73"/>
      <c r="E34" s="73"/>
      <c r="F34" s="73"/>
      <c r="G34" s="73"/>
      <c r="H34" s="73"/>
      <c r="I34" s="73"/>
      <c r="J34" s="73"/>
      <c r="K34" s="73"/>
      <c r="L34" s="73"/>
      <c r="M34" s="73"/>
      <c r="N34" s="73"/>
      <c r="O34" s="73"/>
      <c r="P34" s="73"/>
      <c r="Q34" s="73"/>
      <c r="R34" s="73"/>
      <c r="S34" s="73"/>
      <c r="T34" s="73"/>
      <c r="U34" s="74"/>
    </row>
    <row r="35" spans="2:21" s="15" customFormat="1" x14ac:dyDescent="0.25">
      <c r="B35" s="72" t="s">
        <v>3426</v>
      </c>
      <c r="C35" s="73"/>
      <c r="D35" s="73"/>
      <c r="E35" s="73"/>
      <c r="F35" s="73"/>
      <c r="G35" s="73"/>
      <c r="H35" s="73"/>
      <c r="I35" s="73"/>
      <c r="J35" s="73"/>
      <c r="K35" s="73"/>
      <c r="L35" s="73"/>
      <c r="M35" s="73"/>
      <c r="N35" s="73"/>
      <c r="O35" s="73"/>
      <c r="P35" s="73"/>
      <c r="Q35" s="73"/>
      <c r="R35" s="73"/>
      <c r="S35" s="73"/>
      <c r="T35" s="73"/>
      <c r="U35" s="74"/>
    </row>
    <row r="36" spans="2:21" s="15" customFormat="1" x14ac:dyDescent="0.25">
      <c r="B36" s="72" t="s">
        <v>3483</v>
      </c>
      <c r="C36" s="73"/>
      <c r="D36" s="73"/>
      <c r="E36" s="73"/>
      <c r="F36" s="73"/>
      <c r="G36" s="73"/>
      <c r="H36" s="73"/>
      <c r="I36" s="73"/>
      <c r="J36" s="73"/>
      <c r="K36" s="73"/>
      <c r="L36" s="73"/>
      <c r="M36" s="73"/>
      <c r="N36" s="73"/>
      <c r="O36" s="73"/>
      <c r="P36" s="73"/>
      <c r="Q36" s="73"/>
      <c r="R36" s="73"/>
      <c r="S36" s="73"/>
      <c r="T36" s="73"/>
      <c r="U36" s="74"/>
    </row>
    <row r="37" spans="2:21" s="15" customFormat="1" x14ac:dyDescent="0.25">
      <c r="B37" s="72" t="s">
        <v>3071</v>
      </c>
      <c r="C37" s="73"/>
      <c r="D37" s="73"/>
      <c r="E37" s="73"/>
      <c r="F37" s="73"/>
      <c r="G37" s="73"/>
      <c r="H37" s="73"/>
      <c r="I37" s="73"/>
      <c r="J37" s="73"/>
      <c r="K37" s="73"/>
      <c r="L37" s="73"/>
      <c r="M37" s="73"/>
      <c r="N37" s="73"/>
      <c r="O37" s="73"/>
      <c r="P37" s="73"/>
      <c r="Q37" s="73"/>
      <c r="R37" s="73"/>
      <c r="S37" s="73"/>
      <c r="T37" s="73"/>
      <c r="U37" s="74"/>
    </row>
    <row r="38" spans="2:21" s="15" customFormat="1" x14ac:dyDescent="0.25">
      <c r="B38" s="72" t="s">
        <v>3484</v>
      </c>
      <c r="C38" s="73"/>
      <c r="D38" s="73"/>
      <c r="E38" s="73"/>
      <c r="F38" s="73"/>
      <c r="G38" s="73"/>
      <c r="H38" s="73"/>
      <c r="I38" s="73"/>
      <c r="J38" s="73"/>
      <c r="K38" s="73"/>
      <c r="L38" s="73"/>
      <c r="M38" s="73"/>
      <c r="N38" s="73"/>
      <c r="O38" s="73"/>
      <c r="P38" s="73"/>
      <c r="Q38" s="73"/>
      <c r="R38" s="73"/>
      <c r="S38" s="73"/>
      <c r="T38" s="73"/>
      <c r="U38" s="74"/>
    </row>
    <row r="39" spans="2:21" s="15" customFormat="1" x14ac:dyDescent="0.25">
      <c r="B39" s="72" t="s">
        <v>3083</v>
      </c>
      <c r="C39" s="73"/>
      <c r="D39" s="73"/>
      <c r="E39" s="73"/>
      <c r="F39" s="73"/>
      <c r="G39" s="73"/>
      <c r="H39" s="73"/>
      <c r="I39" s="73"/>
      <c r="J39" s="73"/>
      <c r="K39" s="73"/>
      <c r="L39" s="73"/>
      <c r="M39" s="73"/>
      <c r="N39" s="73"/>
      <c r="O39" s="73"/>
      <c r="P39" s="73"/>
      <c r="Q39" s="73"/>
      <c r="R39" s="73"/>
      <c r="S39" s="73"/>
      <c r="T39" s="73"/>
      <c r="U39" s="74"/>
    </row>
    <row r="40" spans="2:21" s="15" customFormat="1" x14ac:dyDescent="0.25">
      <c r="B40" s="72" t="s">
        <v>3058</v>
      </c>
      <c r="C40" s="73"/>
      <c r="D40" s="73"/>
      <c r="E40" s="73"/>
      <c r="F40" s="73"/>
      <c r="G40" s="73"/>
      <c r="H40" s="73"/>
      <c r="I40" s="73"/>
      <c r="J40" s="73"/>
      <c r="K40" s="73"/>
      <c r="L40" s="73"/>
      <c r="M40" s="73"/>
      <c r="N40" s="73"/>
      <c r="O40" s="73"/>
      <c r="P40" s="73"/>
      <c r="Q40" s="73"/>
      <c r="R40" s="73"/>
      <c r="S40" s="73"/>
      <c r="T40" s="73"/>
      <c r="U40" s="74"/>
    </row>
    <row r="41" spans="2:21" s="15" customFormat="1" x14ac:dyDescent="0.25">
      <c r="B41" s="72" t="s">
        <v>3485</v>
      </c>
      <c r="C41" s="73"/>
      <c r="D41" s="73"/>
      <c r="E41" s="73"/>
      <c r="F41" s="73"/>
      <c r="G41" s="73"/>
      <c r="H41" s="73"/>
      <c r="I41" s="73"/>
      <c r="J41" s="73"/>
      <c r="K41" s="73"/>
      <c r="L41" s="73"/>
      <c r="M41" s="73"/>
      <c r="N41" s="73"/>
      <c r="O41" s="73"/>
      <c r="P41" s="73"/>
      <c r="Q41" s="73"/>
      <c r="R41" s="73"/>
      <c r="S41" s="73"/>
      <c r="T41" s="73"/>
      <c r="U41" s="74"/>
    </row>
    <row r="42" spans="2:21" s="15" customFormat="1" x14ac:dyDescent="0.25">
      <c r="B42" s="72" t="s">
        <v>3085</v>
      </c>
      <c r="C42" s="73"/>
      <c r="D42" s="73"/>
      <c r="E42" s="73"/>
      <c r="F42" s="73"/>
      <c r="G42" s="73"/>
      <c r="H42" s="73"/>
      <c r="I42" s="73"/>
      <c r="J42" s="73"/>
      <c r="K42" s="73"/>
      <c r="L42" s="73"/>
      <c r="M42" s="73"/>
      <c r="N42" s="73"/>
      <c r="O42" s="73"/>
      <c r="P42" s="73"/>
      <c r="Q42" s="73"/>
      <c r="R42" s="73"/>
      <c r="S42" s="73"/>
      <c r="T42" s="73"/>
      <c r="U42" s="74"/>
    </row>
    <row r="43" spans="2:21" s="15" customFormat="1" x14ac:dyDescent="0.25">
      <c r="B43" s="72" t="s">
        <v>3486</v>
      </c>
      <c r="C43" s="73"/>
      <c r="D43" s="73"/>
      <c r="E43" s="73"/>
      <c r="F43" s="73"/>
      <c r="G43" s="73"/>
      <c r="H43" s="73"/>
      <c r="I43" s="73"/>
      <c r="J43" s="73"/>
      <c r="K43" s="73"/>
      <c r="L43" s="73"/>
      <c r="M43" s="73"/>
      <c r="N43" s="73"/>
      <c r="O43" s="73"/>
      <c r="P43" s="73"/>
      <c r="Q43" s="73"/>
      <c r="R43" s="73"/>
      <c r="S43" s="73"/>
      <c r="T43" s="73"/>
      <c r="U43" s="74"/>
    </row>
    <row r="44" spans="2:21" s="15" customFormat="1" x14ac:dyDescent="0.25">
      <c r="B44" s="72" t="s">
        <v>3487</v>
      </c>
      <c r="C44" s="73"/>
      <c r="D44" s="73"/>
      <c r="E44" s="73"/>
      <c r="F44" s="73"/>
      <c r="G44" s="73"/>
      <c r="H44" s="73"/>
      <c r="I44" s="73"/>
      <c r="J44" s="73"/>
      <c r="K44" s="73"/>
      <c r="L44" s="73"/>
      <c r="M44" s="73"/>
      <c r="N44" s="73"/>
      <c r="O44" s="73"/>
      <c r="P44" s="73"/>
      <c r="Q44" s="73"/>
      <c r="R44" s="73"/>
      <c r="S44" s="73"/>
      <c r="T44" s="73"/>
      <c r="U44" s="74"/>
    </row>
    <row r="45" spans="2:21" s="15" customFormat="1" x14ac:dyDescent="0.25">
      <c r="B45" s="72" t="s">
        <v>3488</v>
      </c>
      <c r="C45" s="73"/>
      <c r="D45" s="73"/>
      <c r="E45" s="73"/>
      <c r="F45" s="73"/>
      <c r="G45" s="73"/>
      <c r="H45" s="73"/>
      <c r="I45" s="73"/>
      <c r="J45" s="73"/>
      <c r="K45" s="73"/>
      <c r="L45" s="73"/>
      <c r="M45" s="73"/>
      <c r="N45" s="73"/>
      <c r="O45" s="73"/>
      <c r="P45" s="73"/>
      <c r="Q45" s="73"/>
      <c r="R45" s="73"/>
      <c r="S45" s="73"/>
      <c r="T45" s="73"/>
      <c r="U45" s="74"/>
    </row>
    <row r="46" spans="2:21" s="15" customFormat="1" x14ac:dyDescent="0.25">
      <c r="B46" s="72" t="s">
        <v>3489</v>
      </c>
      <c r="C46" s="73"/>
      <c r="D46" s="73"/>
      <c r="E46" s="73"/>
      <c r="F46" s="73"/>
      <c r="G46" s="73"/>
      <c r="H46" s="73"/>
      <c r="I46" s="73"/>
      <c r="J46" s="73"/>
      <c r="K46" s="73"/>
      <c r="L46" s="73"/>
      <c r="M46" s="73"/>
      <c r="N46" s="73"/>
      <c r="O46" s="73"/>
      <c r="P46" s="73"/>
      <c r="Q46" s="73"/>
      <c r="R46" s="73"/>
      <c r="S46" s="73"/>
      <c r="T46" s="73"/>
      <c r="U46" s="74"/>
    </row>
    <row r="47" spans="2:21" s="15" customFormat="1" x14ac:dyDescent="0.25">
      <c r="B47" s="72" t="s">
        <v>3490</v>
      </c>
      <c r="C47" s="73"/>
      <c r="D47" s="73"/>
      <c r="E47" s="73"/>
      <c r="F47" s="73"/>
      <c r="G47" s="73"/>
      <c r="H47" s="73"/>
      <c r="I47" s="73"/>
      <c r="J47" s="73"/>
      <c r="K47" s="73"/>
      <c r="L47" s="73"/>
      <c r="M47" s="73"/>
      <c r="N47" s="73"/>
      <c r="O47" s="73"/>
      <c r="P47" s="73"/>
      <c r="Q47" s="73"/>
      <c r="R47" s="73"/>
      <c r="S47" s="73"/>
      <c r="T47" s="73"/>
      <c r="U47" s="74"/>
    </row>
    <row r="48" spans="2:21" s="15" customFormat="1" x14ac:dyDescent="0.25">
      <c r="B48" s="72" t="s">
        <v>3491</v>
      </c>
      <c r="C48" s="73"/>
      <c r="D48" s="73"/>
      <c r="E48" s="73"/>
      <c r="F48" s="73"/>
      <c r="G48" s="73"/>
      <c r="H48" s="73"/>
      <c r="I48" s="73"/>
      <c r="J48" s="73"/>
      <c r="K48" s="73"/>
      <c r="L48" s="73"/>
      <c r="M48" s="73"/>
      <c r="N48" s="73"/>
      <c r="O48" s="73"/>
      <c r="P48" s="73"/>
      <c r="Q48" s="73"/>
      <c r="R48" s="73"/>
      <c r="S48" s="73"/>
      <c r="T48" s="73"/>
      <c r="U48" s="74"/>
    </row>
    <row r="49" spans="2:21" s="15" customFormat="1" x14ac:dyDescent="0.25">
      <c r="B49" s="72" t="s">
        <v>3492</v>
      </c>
      <c r="C49" s="73"/>
      <c r="D49" s="73"/>
      <c r="E49" s="73"/>
      <c r="F49" s="73"/>
      <c r="G49" s="73"/>
      <c r="H49" s="73"/>
      <c r="I49" s="73"/>
      <c r="J49" s="73"/>
      <c r="K49" s="73"/>
      <c r="L49" s="73"/>
      <c r="M49" s="73"/>
      <c r="N49" s="73"/>
      <c r="O49" s="73"/>
      <c r="P49" s="73"/>
      <c r="Q49" s="73"/>
      <c r="R49" s="73"/>
      <c r="S49" s="73"/>
      <c r="T49" s="73"/>
      <c r="U49" s="74"/>
    </row>
    <row r="50" spans="2:21" s="15" customFormat="1" x14ac:dyDescent="0.25">
      <c r="B50" s="72" t="s">
        <v>3083</v>
      </c>
      <c r="C50" s="73"/>
      <c r="D50" s="73"/>
      <c r="E50" s="73"/>
      <c r="F50" s="73"/>
      <c r="G50" s="73"/>
      <c r="H50" s="73"/>
      <c r="I50" s="73"/>
      <c r="J50" s="73"/>
      <c r="K50" s="73"/>
      <c r="L50" s="73"/>
      <c r="M50" s="73"/>
      <c r="N50" s="73"/>
      <c r="O50" s="73"/>
      <c r="P50" s="73"/>
      <c r="Q50" s="73"/>
      <c r="R50" s="73"/>
      <c r="S50" s="73"/>
      <c r="T50" s="73"/>
      <c r="U50" s="74"/>
    </row>
    <row r="51" spans="2:21" s="15" customFormat="1" x14ac:dyDescent="0.25">
      <c r="B51" s="72" t="s">
        <v>3093</v>
      </c>
      <c r="C51" s="73"/>
      <c r="D51" s="73"/>
      <c r="E51" s="73"/>
      <c r="F51" s="73"/>
      <c r="G51" s="73"/>
      <c r="H51" s="73"/>
      <c r="I51" s="73"/>
      <c r="J51" s="73"/>
      <c r="K51" s="73"/>
      <c r="L51" s="73"/>
      <c r="M51" s="73"/>
      <c r="N51" s="73"/>
      <c r="O51" s="73"/>
      <c r="P51" s="73"/>
      <c r="Q51" s="73"/>
      <c r="R51" s="73"/>
      <c r="S51" s="73"/>
      <c r="T51" s="73"/>
      <c r="U51" s="74"/>
    </row>
    <row r="52" spans="2:21" s="15" customFormat="1" x14ac:dyDescent="0.25">
      <c r="B52" s="72" t="s">
        <v>3084</v>
      </c>
      <c r="C52" s="73"/>
      <c r="D52" s="73"/>
      <c r="E52" s="73"/>
      <c r="F52" s="73"/>
      <c r="G52" s="73"/>
      <c r="H52" s="73"/>
      <c r="I52" s="73"/>
      <c r="J52" s="73"/>
      <c r="K52" s="73"/>
      <c r="L52" s="73"/>
      <c r="M52" s="73"/>
      <c r="N52" s="73"/>
      <c r="O52" s="73"/>
      <c r="P52" s="73"/>
      <c r="Q52" s="73"/>
      <c r="R52" s="73"/>
      <c r="S52" s="73"/>
      <c r="T52" s="73"/>
      <c r="U52" s="74"/>
    </row>
    <row r="53" spans="2:21" s="15" customFormat="1" x14ac:dyDescent="0.25">
      <c r="B53" s="72" t="s">
        <v>3085</v>
      </c>
      <c r="C53" s="73"/>
      <c r="D53" s="73"/>
      <c r="E53" s="73"/>
      <c r="F53" s="73"/>
      <c r="G53" s="73"/>
      <c r="H53" s="73"/>
      <c r="I53" s="73"/>
      <c r="J53" s="73"/>
      <c r="K53" s="73"/>
      <c r="L53" s="73"/>
      <c r="M53" s="73"/>
      <c r="N53" s="73"/>
      <c r="O53" s="73"/>
      <c r="P53" s="73"/>
      <c r="Q53" s="73"/>
      <c r="R53" s="73"/>
      <c r="S53" s="73"/>
      <c r="T53" s="73"/>
      <c r="U53" s="74"/>
    </row>
    <row r="54" spans="2:21" s="15" customFormat="1" x14ac:dyDescent="0.25">
      <c r="B54" s="72" t="s">
        <v>3334</v>
      </c>
      <c r="C54" s="73"/>
      <c r="D54" s="73"/>
      <c r="E54" s="73"/>
      <c r="F54" s="73"/>
      <c r="G54" s="73"/>
      <c r="H54" s="73"/>
      <c r="I54" s="73"/>
      <c r="J54" s="73"/>
      <c r="K54" s="73"/>
      <c r="L54" s="73"/>
      <c r="M54" s="73"/>
      <c r="N54" s="73"/>
      <c r="O54" s="73"/>
      <c r="P54" s="73"/>
      <c r="Q54" s="73"/>
      <c r="R54" s="73"/>
      <c r="S54" s="73"/>
      <c r="T54" s="73"/>
      <c r="U54" s="74"/>
    </row>
    <row r="55" spans="2:21" s="15" customFormat="1" x14ac:dyDescent="0.25">
      <c r="B55" s="72" t="s">
        <v>3493</v>
      </c>
      <c r="C55" s="73"/>
      <c r="D55" s="73"/>
      <c r="E55" s="73"/>
      <c r="F55" s="73"/>
      <c r="G55" s="73"/>
      <c r="H55" s="73"/>
      <c r="I55" s="73"/>
      <c r="J55" s="73"/>
      <c r="K55" s="73"/>
      <c r="L55" s="73"/>
      <c r="M55" s="73"/>
      <c r="N55" s="73"/>
      <c r="O55" s="73"/>
      <c r="P55" s="73"/>
      <c r="Q55" s="73"/>
      <c r="R55" s="73"/>
      <c r="S55" s="73"/>
      <c r="T55" s="73"/>
      <c r="U55" s="74"/>
    </row>
    <row r="56" spans="2:21" s="15" customFormat="1" x14ac:dyDescent="0.25">
      <c r="B56" s="72" t="s">
        <v>3083</v>
      </c>
      <c r="C56" s="73"/>
      <c r="D56" s="73"/>
      <c r="E56" s="73"/>
      <c r="F56" s="73"/>
      <c r="G56" s="73"/>
      <c r="H56" s="73"/>
      <c r="I56" s="73"/>
      <c r="J56" s="73"/>
      <c r="K56" s="73"/>
      <c r="L56" s="73"/>
      <c r="M56" s="73"/>
      <c r="N56" s="73"/>
      <c r="O56" s="73"/>
      <c r="P56" s="73"/>
      <c r="Q56" s="73"/>
      <c r="R56" s="73"/>
      <c r="S56" s="73"/>
      <c r="T56" s="73"/>
      <c r="U56" s="74"/>
    </row>
    <row r="57" spans="2:21" s="15" customFormat="1" x14ac:dyDescent="0.25">
      <c r="B57" s="72" t="s">
        <v>3093</v>
      </c>
      <c r="C57" s="73"/>
      <c r="D57" s="73"/>
      <c r="E57" s="73"/>
      <c r="F57" s="73"/>
      <c r="G57" s="73"/>
      <c r="H57" s="73"/>
      <c r="I57" s="73"/>
      <c r="J57" s="73"/>
      <c r="K57" s="73"/>
      <c r="L57" s="73"/>
      <c r="M57" s="73"/>
      <c r="N57" s="73"/>
      <c r="O57" s="73"/>
      <c r="P57" s="73"/>
      <c r="Q57" s="73"/>
      <c r="R57" s="73"/>
      <c r="S57" s="73"/>
      <c r="T57" s="73"/>
      <c r="U57" s="74"/>
    </row>
    <row r="58" spans="2:21" s="15" customFormat="1" x14ac:dyDescent="0.25">
      <c r="B58" s="72" t="s">
        <v>3094</v>
      </c>
      <c r="C58" s="73"/>
      <c r="D58" s="73"/>
      <c r="E58" s="73"/>
      <c r="F58" s="73"/>
      <c r="G58" s="73"/>
      <c r="H58" s="73"/>
      <c r="I58" s="73"/>
      <c r="J58" s="73"/>
      <c r="K58" s="73"/>
      <c r="L58" s="73"/>
      <c r="M58" s="73"/>
      <c r="N58" s="73"/>
      <c r="O58" s="73"/>
      <c r="P58" s="73"/>
      <c r="Q58" s="73"/>
      <c r="R58" s="73"/>
      <c r="S58" s="73"/>
      <c r="T58" s="73"/>
      <c r="U58" s="74"/>
    </row>
    <row r="59" spans="2:21" s="15" customFormat="1" x14ac:dyDescent="0.25">
      <c r="B59" s="72" t="s">
        <v>3095</v>
      </c>
      <c r="C59" s="73"/>
      <c r="D59" s="73"/>
      <c r="E59" s="73"/>
      <c r="F59" s="73"/>
      <c r="G59" s="73"/>
      <c r="H59" s="73"/>
      <c r="I59" s="73"/>
      <c r="J59" s="73"/>
      <c r="K59" s="73"/>
      <c r="L59" s="73"/>
      <c r="M59" s="73"/>
      <c r="N59" s="73"/>
      <c r="O59" s="73"/>
      <c r="P59" s="73"/>
      <c r="Q59" s="73"/>
      <c r="R59" s="73"/>
      <c r="S59" s="73"/>
      <c r="T59" s="73"/>
      <c r="U59" s="74"/>
    </row>
    <row r="60" spans="2:21" s="15" customFormat="1" x14ac:dyDescent="0.25">
      <c r="B60" s="72" t="s">
        <v>3096</v>
      </c>
      <c r="C60" s="73"/>
      <c r="D60" s="73"/>
      <c r="E60" s="73"/>
      <c r="F60" s="73"/>
      <c r="G60" s="73"/>
      <c r="H60" s="73"/>
      <c r="I60" s="73"/>
      <c r="J60" s="73"/>
      <c r="K60" s="73"/>
      <c r="L60" s="73"/>
      <c r="M60" s="73"/>
      <c r="N60" s="73"/>
      <c r="O60" s="73"/>
      <c r="P60" s="73"/>
      <c r="Q60" s="73"/>
      <c r="R60" s="73"/>
      <c r="S60" s="73"/>
      <c r="T60" s="73"/>
      <c r="U60" s="74"/>
    </row>
    <row r="61" spans="2:21" s="15" customFormat="1" x14ac:dyDescent="0.25">
      <c r="B61" s="72" t="s">
        <v>3097</v>
      </c>
      <c r="C61" s="73"/>
      <c r="D61" s="73"/>
      <c r="E61" s="73"/>
      <c r="F61" s="73"/>
      <c r="G61" s="73"/>
      <c r="H61" s="73"/>
      <c r="I61" s="73"/>
      <c r="J61" s="73"/>
      <c r="K61" s="73"/>
      <c r="L61" s="73"/>
      <c r="M61" s="73"/>
      <c r="N61" s="73"/>
      <c r="O61" s="73"/>
      <c r="P61" s="73"/>
      <c r="Q61" s="73"/>
      <c r="R61" s="73"/>
      <c r="S61" s="73"/>
      <c r="T61" s="73"/>
      <c r="U61" s="74"/>
    </row>
    <row r="62" spans="2:21" s="15" customFormat="1" x14ac:dyDescent="0.25">
      <c r="B62" s="72" t="s">
        <v>3098</v>
      </c>
      <c r="C62" s="73"/>
      <c r="D62" s="73"/>
      <c r="E62" s="73"/>
      <c r="F62" s="73"/>
      <c r="G62" s="73"/>
      <c r="H62" s="73"/>
      <c r="I62" s="73"/>
      <c r="J62" s="73"/>
      <c r="K62" s="73"/>
      <c r="L62" s="73"/>
      <c r="M62" s="73"/>
      <c r="N62" s="73"/>
      <c r="O62" s="73"/>
      <c r="P62" s="73"/>
      <c r="Q62" s="73"/>
      <c r="R62" s="73"/>
      <c r="S62" s="73"/>
      <c r="T62" s="73"/>
      <c r="U62" s="74"/>
    </row>
    <row r="63" spans="2:21" s="15" customFormat="1" x14ac:dyDescent="0.25">
      <c r="B63" s="72" t="s">
        <v>3099</v>
      </c>
      <c r="C63" s="73"/>
      <c r="D63" s="73"/>
      <c r="E63" s="73"/>
      <c r="F63" s="73"/>
      <c r="G63" s="73"/>
      <c r="H63" s="73"/>
      <c r="I63" s="73"/>
      <c r="J63" s="73"/>
      <c r="K63" s="73"/>
      <c r="L63" s="73"/>
      <c r="M63" s="73"/>
      <c r="N63" s="73"/>
      <c r="O63" s="73"/>
      <c r="P63" s="73"/>
      <c r="Q63" s="73"/>
      <c r="R63" s="73"/>
      <c r="S63" s="73"/>
      <c r="T63" s="73"/>
      <c r="U63" s="74"/>
    </row>
    <row r="64" spans="2:21" s="15" customFormat="1" x14ac:dyDescent="0.25">
      <c r="B64" s="72" t="s">
        <v>3100</v>
      </c>
      <c r="C64" s="73"/>
      <c r="D64" s="73"/>
      <c r="E64" s="73"/>
      <c r="F64" s="73"/>
      <c r="G64" s="73"/>
      <c r="H64" s="73"/>
      <c r="I64" s="73"/>
      <c r="J64" s="73"/>
      <c r="K64" s="73"/>
      <c r="L64" s="73"/>
      <c r="M64" s="73"/>
      <c r="N64" s="73"/>
      <c r="O64" s="73"/>
      <c r="P64" s="73"/>
      <c r="Q64" s="73"/>
      <c r="R64" s="73"/>
      <c r="S64" s="73"/>
      <c r="T64" s="73"/>
      <c r="U64" s="74"/>
    </row>
    <row r="65" spans="2:21" s="15" customFormat="1" x14ac:dyDescent="0.25">
      <c r="B65" s="72" t="s">
        <v>3494</v>
      </c>
      <c r="C65" s="73"/>
      <c r="D65" s="73"/>
      <c r="E65" s="73"/>
      <c r="F65" s="73"/>
      <c r="G65" s="73"/>
      <c r="H65" s="73"/>
      <c r="I65" s="73"/>
      <c r="J65" s="73"/>
      <c r="K65" s="73"/>
      <c r="L65" s="73"/>
      <c r="M65" s="73"/>
      <c r="N65" s="73"/>
      <c r="O65" s="73"/>
      <c r="P65" s="73"/>
      <c r="Q65" s="73"/>
      <c r="R65" s="73"/>
      <c r="S65" s="73"/>
      <c r="T65" s="73"/>
      <c r="U65" s="74"/>
    </row>
    <row r="66" spans="2:21" s="15" customFormat="1" x14ac:dyDescent="0.25">
      <c r="B66" s="72" t="s">
        <v>3495</v>
      </c>
      <c r="C66" s="73"/>
      <c r="D66" s="73"/>
      <c r="E66" s="73"/>
      <c r="F66" s="73"/>
      <c r="G66" s="73"/>
      <c r="H66" s="73"/>
      <c r="I66" s="73"/>
      <c r="J66" s="73"/>
      <c r="K66" s="73"/>
      <c r="L66" s="73"/>
      <c r="M66" s="73"/>
      <c r="N66" s="73"/>
      <c r="O66" s="73"/>
      <c r="P66" s="73"/>
      <c r="Q66" s="73"/>
      <c r="R66" s="73"/>
      <c r="S66" s="73"/>
      <c r="T66" s="73"/>
      <c r="U66" s="74"/>
    </row>
    <row r="67" spans="2:21" s="15" customFormat="1" x14ac:dyDescent="0.25">
      <c r="B67" s="72" t="s">
        <v>3342</v>
      </c>
      <c r="C67" s="73"/>
      <c r="D67" s="73"/>
      <c r="E67" s="73"/>
      <c r="F67" s="73"/>
      <c r="G67" s="73"/>
      <c r="H67" s="73"/>
      <c r="I67" s="73"/>
      <c r="J67" s="73"/>
      <c r="K67" s="73"/>
      <c r="L67" s="73"/>
      <c r="M67" s="73"/>
      <c r="N67" s="73"/>
      <c r="O67" s="73"/>
      <c r="P67" s="73"/>
      <c r="Q67" s="73"/>
      <c r="R67" s="73"/>
      <c r="S67" s="73"/>
      <c r="T67" s="73"/>
      <c r="U67" s="74"/>
    </row>
    <row r="68" spans="2:21" s="15" customFormat="1" x14ac:dyDescent="0.25">
      <c r="B68" s="72" t="s">
        <v>3496</v>
      </c>
      <c r="C68" s="73"/>
      <c r="D68" s="73"/>
      <c r="E68" s="73"/>
      <c r="F68" s="73"/>
      <c r="G68" s="73"/>
      <c r="H68" s="73"/>
      <c r="I68" s="73"/>
      <c r="J68" s="73"/>
      <c r="K68" s="73"/>
      <c r="L68" s="73"/>
      <c r="M68" s="73"/>
      <c r="N68" s="73"/>
      <c r="O68" s="73"/>
      <c r="P68" s="73"/>
      <c r="Q68" s="73"/>
      <c r="R68" s="73"/>
      <c r="S68" s="73"/>
      <c r="T68" s="73"/>
      <c r="U68" s="74"/>
    </row>
    <row r="69" spans="2:21" s="15" customFormat="1" x14ac:dyDescent="0.25">
      <c r="B69" s="72" t="s">
        <v>3105</v>
      </c>
      <c r="C69" s="73"/>
      <c r="D69" s="73"/>
      <c r="E69" s="73"/>
      <c r="F69" s="73"/>
      <c r="G69" s="73"/>
      <c r="H69" s="73"/>
      <c r="I69" s="73"/>
      <c r="J69" s="73"/>
      <c r="K69" s="73"/>
      <c r="L69" s="73"/>
      <c r="M69" s="73"/>
      <c r="N69" s="73"/>
      <c r="O69" s="73"/>
      <c r="P69" s="73"/>
      <c r="Q69" s="73"/>
      <c r="R69" s="73"/>
      <c r="S69" s="73"/>
      <c r="T69" s="73"/>
      <c r="U69" s="74"/>
    </row>
    <row r="70" spans="2:21" s="15" customFormat="1" x14ac:dyDescent="0.25">
      <c r="B70" s="72" t="s">
        <v>3106</v>
      </c>
      <c r="C70" s="73"/>
      <c r="D70" s="73"/>
      <c r="E70" s="73"/>
      <c r="F70" s="73"/>
      <c r="G70" s="73"/>
      <c r="H70" s="73"/>
      <c r="I70" s="73"/>
      <c r="J70" s="73"/>
      <c r="K70" s="73"/>
      <c r="L70" s="73"/>
      <c r="M70" s="73"/>
      <c r="N70" s="73"/>
      <c r="O70" s="73"/>
      <c r="P70" s="73"/>
      <c r="Q70" s="73"/>
      <c r="R70" s="73"/>
      <c r="S70" s="73"/>
      <c r="T70" s="73"/>
      <c r="U70" s="74"/>
    </row>
    <row r="71" spans="2:21" s="15" customFormat="1" x14ac:dyDescent="0.25">
      <c r="B71" s="72" t="s">
        <v>3497</v>
      </c>
      <c r="C71" s="73"/>
      <c r="D71" s="73"/>
      <c r="E71" s="73"/>
      <c r="F71" s="73"/>
      <c r="G71" s="73"/>
      <c r="H71" s="73"/>
      <c r="I71" s="73"/>
      <c r="J71" s="73"/>
      <c r="K71" s="73"/>
      <c r="L71" s="73"/>
      <c r="M71" s="73"/>
      <c r="N71" s="73"/>
      <c r="O71" s="73"/>
      <c r="P71" s="73"/>
      <c r="Q71" s="73"/>
      <c r="R71" s="73"/>
      <c r="S71" s="73"/>
      <c r="T71" s="73"/>
      <c r="U71" s="74"/>
    </row>
    <row r="72" spans="2:21" s="15" customFormat="1" x14ac:dyDescent="0.25">
      <c r="B72" s="72" t="s">
        <v>3498</v>
      </c>
      <c r="C72" s="73"/>
      <c r="D72" s="73"/>
      <c r="E72" s="73"/>
      <c r="F72" s="73"/>
      <c r="G72" s="73"/>
      <c r="H72" s="73"/>
      <c r="I72" s="73"/>
      <c r="J72" s="73"/>
      <c r="K72" s="73"/>
      <c r="L72" s="73"/>
      <c r="M72" s="73"/>
      <c r="N72" s="73"/>
      <c r="O72" s="73"/>
      <c r="P72" s="73"/>
      <c r="Q72" s="73"/>
      <c r="R72" s="73"/>
      <c r="S72" s="73"/>
      <c r="T72" s="73"/>
      <c r="U72" s="74"/>
    </row>
    <row r="73" spans="2:21" s="15" customFormat="1" x14ac:dyDescent="0.25">
      <c r="B73" s="72" t="s">
        <v>3499</v>
      </c>
      <c r="C73" s="73"/>
      <c r="D73" s="73"/>
      <c r="E73" s="73"/>
      <c r="F73" s="73"/>
      <c r="G73" s="73"/>
      <c r="H73" s="73"/>
      <c r="I73" s="73"/>
      <c r="J73" s="73"/>
      <c r="K73" s="73"/>
      <c r="L73" s="73"/>
      <c r="M73" s="73"/>
      <c r="N73" s="73"/>
      <c r="O73" s="73"/>
      <c r="P73" s="73"/>
      <c r="Q73" s="73"/>
      <c r="R73" s="73"/>
      <c r="S73" s="73"/>
      <c r="T73" s="73"/>
      <c r="U73" s="74"/>
    </row>
    <row r="74" spans="2:21" s="15" customFormat="1" x14ac:dyDescent="0.25">
      <c r="B74" s="72" t="s">
        <v>3500</v>
      </c>
      <c r="C74" s="73"/>
      <c r="D74" s="73"/>
      <c r="E74" s="73"/>
      <c r="F74" s="73"/>
      <c r="G74" s="73"/>
      <c r="H74" s="73"/>
      <c r="I74" s="73"/>
      <c r="J74" s="73"/>
      <c r="K74" s="73"/>
      <c r="L74" s="73"/>
      <c r="M74" s="73"/>
      <c r="N74" s="73"/>
      <c r="O74" s="73"/>
      <c r="P74" s="73"/>
      <c r="Q74" s="73"/>
      <c r="R74" s="73"/>
      <c r="S74" s="73"/>
      <c r="T74" s="73"/>
      <c r="U74" s="74"/>
    </row>
    <row r="75" spans="2:21" s="15" customFormat="1" x14ac:dyDescent="0.25">
      <c r="B75" s="72" t="s">
        <v>3501</v>
      </c>
      <c r="C75" s="73"/>
      <c r="D75" s="73"/>
      <c r="E75" s="73"/>
      <c r="F75" s="73"/>
      <c r="G75" s="73"/>
      <c r="H75" s="73"/>
      <c r="I75" s="73"/>
      <c r="J75" s="73"/>
      <c r="K75" s="73"/>
      <c r="L75" s="73"/>
      <c r="M75" s="73"/>
      <c r="N75" s="73"/>
      <c r="O75" s="73"/>
      <c r="P75" s="73"/>
      <c r="Q75" s="73"/>
      <c r="R75" s="73"/>
      <c r="S75" s="73"/>
      <c r="T75" s="73"/>
      <c r="U75" s="74"/>
    </row>
    <row r="76" spans="2:21" s="15" customFormat="1" x14ac:dyDescent="0.25">
      <c r="B76" s="72" t="s">
        <v>3502</v>
      </c>
      <c r="C76" s="73"/>
      <c r="D76" s="73"/>
      <c r="E76" s="73"/>
      <c r="F76" s="73"/>
      <c r="G76" s="73"/>
      <c r="H76" s="73"/>
      <c r="I76" s="73"/>
      <c r="J76" s="73"/>
      <c r="K76" s="73"/>
      <c r="L76" s="73"/>
      <c r="M76" s="73"/>
      <c r="N76" s="73"/>
      <c r="O76" s="73"/>
      <c r="P76" s="73"/>
      <c r="Q76" s="73"/>
      <c r="R76" s="73"/>
      <c r="S76" s="73"/>
      <c r="T76" s="73"/>
      <c r="U76" s="74"/>
    </row>
    <row r="77" spans="2:21" s="15" customFormat="1" x14ac:dyDescent="0.25">
      <c r="B77" s="72" t="s">
        <v>3503</v>
      </c>
      <c r="C77" s="73"/>
      <c r="D77" s="73"/>
      <c r="E77" s="73"/>
      <c r="F77" s="73"/>
      <c r="G77" s="73"/>
      <c r="H77" s="73"/>
      <c r="I77" s="73"/>
      <c r="J77" s="73"/>
      <c r="K77" s="73"/>
      <c r="L77" s="73"/>
      <c r="M77" s="73"/>
      <c r="N77" s="73"/>
      <c r="O77" s="73"/>
      <c r="P77" s="73"/>
      <c r="Q77" s="73"/>
      <c r="R77" s="73"/>
      <c r="S77" s="73"/>
      <c r="T77" s="73"/>
      <c r="U77" s="74"/>
    </row>
    <row r="78" spans="2:21" s="15" customFormat="1" x14ac:dyDescent="0.25">
      <c r="B78" s="72" t="s">
        <v>3504</v>
      </c>
      <c r="C78" s="73"/>
      <c r="D78" s="73"/>
      <c r="E78" s="73"/>
      <c r="F78" s="73"/>
      <c r="G78" s="73"/>
      <c r="H78" s="73"/>
      <c r="I78" s="73"/>
      <c r="J78" s="73"/>
      <c r="K78" s="73"/>
      <c r="L78" s="73"/>
      <c r="M78" s="73"/>
      <c r="N78" s="73"/>
      <c r="O78" s="73"/>
      <c r="P78" s="73"/>
      <c r="Q78" s="73"/>
      <c r="R78" s="73"/>
      <c r="S78" s="73"/>
      <c r="T78" s="73"/>
      <c r="U78" s="74"/>
    </row>
    <row r="79" spans="2:21" s="15" customFormat="1" x14ac:dyDescent="0.25">
      <c r="B79" s="72" t="s">
        <v>3505</v>
      </c>
      <c r="C79" s="73"/>
      <c r="D79" s="73"/>
      <c r="E79" s="73"/>
      <c r="F79" s="73"/>
      <c r="G79" s="73"/>
      <c r="H79" s="73"/>
      <c r="I79" s="73"/>
      <c r="J79" s="73"/>
      <c r="K79" s="73"/>
      <c r="L79" s="73"/>
      <c r="M79" s="73"/>
      <c r="N79" s="73"/>
      <c r="O79" s="73"/>
      <c r="P79" s="73"/>
      <c r="Q79" s="73"/>
      <c r="R79" s="73"/>
      <c r="S79" s="73"/>
      <c r="T79" s="73"/>
      <c r="U79" s="74"/>
    </row>
    <row r="80" spans="2:21" s="15" customFormat="1" x14ac:dyDescent="0.25">
      <c r="B80" s="72" t="s">
        <v>3460</v>
      </c>
      <c r="C80" s="73"/>
      <c r="D80" s="73"/>
      <c r="E80" s="73"/>
      <c r="F80" s="73"/>
      <c r="G80" s="73"/>
      <c r="H80" s="73"/>
      <c r="I80" s="73"/>
      <c r="J80" s="73"/>
      <c r="K80" s="73"/>
      <c r="L80" s="73"/>
      <c r="M80" s="73"/>
      <c r="N80" s="73"/>
      <c r="O80" s="73"/>
      <c r="P80" s="73"/>
      <c r="Q80" s="73"/>
      <c r="R80" s="73"/>
      <c r="S80" s="73"/>
      <c r="T80" s="73"/>
      <c r="U80" s="74"/>
    </row>
    <row r="81" spans="2:21" s="15" customFormat="1" x14ac:dyDescent="0.25">
      <c r="B81" s="72" t="s">
        <v>3506</v>
      </c>
      <c r="C81" s="73"/>
      <c r="D81" s="73"/>
      <c r="E81" s="73"/>
      <c r="F81" s="73"/>
      <c r="G81" s="73"/>
      <c r="H81" s="73"/>
      <c r="I81" s="73"/>
      <c r="J81" s="73"/>
      <c r="K81" s="73"/>
      <c r="L81" s="73"/>
      <c r="M81" s="73"/>
      <c r="N81" s="73"/>
      <c r="O81" s="73"/>
      <c r="P81" s="73"/>
      <c r="Q81" s="73"/>
      <c r="R81" s="73"/>
      <c r="S81" s="73"/>
      <c r="T81" s="73"/>
      <c r="U81" s="74"/>
    </row>
    <row r="82" spans="2:21" s="15" customFormat="1" x14ac:dyDescent="0.25">
      <c r="B82" s="72" t="s">
        <v>3353</v>
      </c>
      <c r="C82" s="73"/>
      <c r="D82" s="73"/>
      <c r="E82" s="73"/>
      <c r="F82" s="73"/>
      <c r="G82" s="73"/>
      <c r="H82" s="73"/>
      <c r="I82" s="73"/>
      <c r="J82" s="73"/>
      <c r="K82" s="73"/>
      <c r="L82" s="73"/>
      <c r="M82" s="73"/>
      <c r="N82" s="73"/>
      <c r="O82" s="73"/>
      <c r="P82" s="73"/>
      <c r="Q82" s="73"/>
      <c r="R82" s="73"/>
      <c r="S82" s="73"/>
      <c r="T82" s="73"/>
      <c r="U82" s="74"/>
    </row>
    <row r="83" spans="2:21" s="15" customFormat="1" x14ac:dyDescent="0.25">
      <c r="B83" s="72" t="s">
        <v>3058</v>
      </c>
      <c r="C83" s="73"/>
      <c r="D83" s="73"/>
      <c r="E83" s="73"/>
      <c r="F83" s="73"/>
      <c r="G83" s="73"/>
      <c r="H83" s="73"/>
      <c r="I83" s="73"/>
      <c r="J83" s="73"/>
      <c r="K83" s="73"/>
      <c r="L83" s="73"/>
      <c r="M83" s="73"/>
      <c r="N83" s="73"/>
      <c r="O83" s="73"/>
      <c r="P83" s="73"/>
      <c r="Q83" s="73"/>
      <c r="R83" s="73"/>
      <c r="S83" s="73"/>
      <c r="T83" s="73"/>
      <c r="U83" s="74"/>
    </row>
    <row r="84" spans="2:21" s="15" customFormat="1" x14ac:dyDescent="0.25">
      <c r="B84" s="72" t="s">
        <v>3507</v>
      </c>
      <c r="C84" s="73"/>
      <c r="D84" s="73"/>
      <c r="E84" s="73"/>
      <c r="F84" s="73"/>
      <c r="G84" s="73"/>
      <c r="H84" s="73"/>
      <c r="I84" s="73"/>
      <c r="J84" s="73"/>
      <c r="K84" s="73"/>
      <c r="L84" s="73"/>
      <c r="M84" s="73"/>
      <c r="N84" s="73"/>
      <c r="O84" s="73"/>
      <c r="P84" s="73"/>
      <c r="Q84" s="73"/>
      <c r="R84" s="73"/>
      <c r="S84" s="73"/>
      <c r="T84" s="73"/>
      <c r="U84" s="74"/>
    </row>
    <row r="85" spans="2:21" s="15" customFormat="1" x14ac:dyDescent="0.25">
      <c r="B85" s="72" t="s">
        <v>3508</v>
      </c>
      <c r="C85" s="73"/>
      <c r="D85" s="73"/>
      <c r="E85" s="73"/>
      <c r="F85" s="73"/>
      <c r="G85" s="73"/>
      <c r="H85" s="73"/>
      <c r="I85" s="73"/>
      <c r="J85" s="73"/>
      <c r="K85" s="73"/>
      <c r="L85" s="73"/>
      <c r="M85" s="73"/>
      <c r="N85" s="73"/>
      <c r="O85" s="73"/>
      <c r="P85" s="73"/>
      <c r="Q85" s="73"/>
      <c r="R85" s="73"/>
      <c r="S85" s="73"/>
      <c r="T85" s="73"/>
      <c r="U85" s="74"/>
    </row>
    <row r="86" spans="2:21" s="15" customFormat="1" x14ac:dyDescent="0.25">
      <c r="B86" s="72" t="s">
        <v>3509</v>
      </c>
      <c r="C86" s="73"/>
      <c r="D86" s="73"/>
      <c r="E86" s="73"/>
      <c r="F86" s="73"/>
      <c r="G86" s="73"/>
      <c r="H86" s="73"/>
      <c r="I86" s="73"/>
      <c r="J86" s="73"/>
      <c r="K86" s="73"/>
      <c r="L86" s="73"/>
      <c r="M86" s="73"/>
      <c r="N86" s="73"/>
      <c r="O86" s="73"/>
      <c r="P86" s="73"/>
      <c r="Q86" s="73"/>
      <c r="R86" s="73"/>
      <c r="S86" s="73"/>
      <c r="T86" s="73"/>
      <c r="U86" s="74"/>
    </row>
    <row r="87" spans="2:21" s="15" customFormat="1" x14ac:dyDescent="0.25">
      <c r="B87" s="72" t="s">
        <v>3510</v>
      </c>
      <c r="C87" s="73"/>
      <c r="D87" s="73"/>
      <c r="E87" s="73"/>
      <c r="F87" s="73"/>
      <c r="G87" s="73"/>
      <c r="H87" s="73"/>
      <c r="I87" s="73"/>
      <c r="J87" s="73"/>
      <c r="K87" s="73"/>
      <c r="L87" s="73"/>
      <c r="M87" s="73"/>
      <c r="N87" s="73"/>
      <c r="O87" s="73"/>
      <c r="P87" s="73"/>
      <c r="Q87" s="73"/>
      <c r="R87" s="73"/>
      <c r="S87" s="73"/>
      <c r="T87" s="73"/>
      <c r="U87" s="74"/>
    </row>
    <row r="88" spans="2:21" s="15" customFormat="1" x14ac:dyDescent="0.25">
      <c r="B88" s="72" t="s">
        <v>3511</v>
      </c>
      <c r="C88" s="73"/>
      <c r="D88" s="73"/>
      <c r="E88" s="73"/>
      <c r="F88" s="73"/>
      <c r="G88" s="73"/>
      <c r="H88" s="73"/>
      <c r="I88" s="73"/>
      <c r="J88" s="73"/>
      <c r="K88" s="73"/>
      <c r="L88" s="73"/>
      <c r="M88" s="73"/>
      <c r="N88" s="73"/>
      <c r="O88" s="73"/>
      <c r="P88" s="73"/>
      <c r="Q88" s="73"/>
      <c r="R88" s="73"/>
      <c r="S88" s="73"/>
      <c r="T88" s="73"/>
      <c r="U88" s="74"/>
    </row>
    <row r="89" spans="2:21" s="15" customFormat="1" x14ac:dyDescent="0.25">
      <c r="B89" s="72" t="s">
        <v>3512</v>
      </c>
      <c r="C89" s="73"/>
      <c r="D89" s="73"/>
      <c r="E89" s="73"/>
      <c r="F89" s="73"/>
      <c r="G89" s="73"/>
      <c r="H89" s="73"/>
      <c r="I89" s="73"/>
      <c r="J89" s="73"/>
      <c r="K89" s="73"/>
      <c r="L89" s="73"/>
      <c r="M89" s="73"/>
      <c r="N89" s="73"/>
      <c r="O89" s="73"/>
      <c r="P89" s="73"/>
      <c r="Q89" s="73"/>
      <c r="R89" s="73"/>
      <c r="S89" s="73"/>
      <c r="T89" s="73"/>
      <c r="U89" s="74"/>
    </row>
    <row r="90" spans="2:21" s="15" customFormat="1" x14ac:dyDescent="0.25">
      <c r="B90" s="72" t="s">
        <v>3513</v>
      </c>
      <c r="C90" s="73"/>
      <c r="D90" s="73"/>
      <c r="E90" s="73"/>
      <c r="F90" s="73"/>
      <c r="G90" s="73"/>
      <c r="H90" s="73"/>
      <c r="I90" s="73"/>
      <c r="J90" s="73"/>
      <c r="K90" s="73"/>
      <c r="L90" s="73"/>
      <c r="M90" s="73"/>
      <c r="N90" s="73"/>
      <c r="O90" s="73"/>
      <c r="P90" s="73"/>
      <c r="Q90" s="73"/>
      <c r="R90" s="73"/>
      <c r="S90" s="73"/>
      <c r="T90" s="73"/>
      <c r="U90" s="74"/>
    </row>
    <row r="91" spans="2:21" s="15" customFormat="1" x14ac:dyDescent="0.25">
      <c r="B91" s="72" t="s">
        <v>3514</v>
      </c>
      <c r="C91" s="73"/>
      <c r="D91" s="73"/>
      <c r="E91" s="73"/>
      <c r="F91" s="73"/>
      <c r="G91" s="73"/>
      <c r="H91" s="73"/>
      <c r="I91" s="73"/>
      <c r="J91" s="73"/>
      <c r="K91" s="73"/>
      <c r="L91" s="73"/>
      <c r="M91" s="73"/>
      <c r="N91" s="73"/>
      <c r="O91" s="73"/>
      <c r="P91" s="73"/>
      <c r="Q91" s="73"/>
      <c r="R91" s="73"/>
      <c r="S91" s="73"/>
      <c r="T91" s="73"/>
      <c r="U91" s="74"/>
    </row>
    <row r="92" spans="2:21" s="15" customFormat="1" x14ac:dyDescent="0.25">
      <c r="B92" s="72" t="s">
        <v>3515</v>
      </c>
      <c r="C92" s="73"/>
      <c r="D92" s="73"/>
      <c r="E92" s="73"/>
      <c r="F92" s="73"/>
      <c r="G92" s="73"/>
      <c r="H92" s="73"/>
      <c r="I92" s="73"/>
      <c r="J92" s="73"/>
      <c r="K92" s="73"/>
      <c r="L92" s="73"/>
      <c r="M92" s="73"/>
      <c r="N92" s="73"/>
      <c r="O92" s="73"/>
      <c r="P92" s="73"/>
      <c r="Q92" s="73"/>
      <c r="R92" s="73"/>
      <c r="S92" s="73"/>
      <c r="T92" s="73"/>
      <c r="U92" s="74"/>
    </row>
    <row r="93" spans="2:21" s="15" customFormat="1" x14ac:dyDescent="0.25">
      <c r="B93" s="72" t="s">
        <v>3516</v>
      </c>
      <c r="C93" s="73"/>
      <c r="D93" s="73"/>
      <c r="E93" s="73"/>
      <c r="F93" s="73"/>
      <c r="G93" s="73"/>
      <c r="H93" s="73"/>
      <c r="I93" s="73"/>
      <c r="J93" s="73"/>
      <c r="K93" s="73"/>
      <c r="L93" s="73"/>
      <c r="M93" s="73"/>
      <c r="N93" s="73"/>
      <c r="O93" s="73"/>
      <c r="P93" s="73"/>
      <c r="Q93" s="73"/>
      <c r="R93" s="73"/>
      <c r="S93" s="73"/>
      <c r="T93" s="73"/>
      <c r="U93" s="74"/>
    </row>
    <row r="94" spans="2:21" s="15" customFormat="1" x14ac:dyDescent="0.25">
      <c r="B94" s="72" t="s">
        <v>3517</v>
      </c>
      <c r="C94" s="73"/>
      <c r="D94" s="73"/>
      <c r="E94" s="73"/>
      <c r="F94" s="73"/>
      <c r="G94" s="73"/>
      <c r="H94" s="73"/>
      <c r="I94" s="73"/>
      <c r="J94" s="73"/>
      <c r="K94" s="73"/>
      <c r="L94" s="73"/>
      <c r="M94" s="73"/>
      <c r="N94" s="73"/>
      <c r="O94" s="73"/>
      <c r="P94" s="73"/>
      <c r="Q94" s="73"/>
      <c r="R94" s="73"/>
      <c r="S94" s="73"/>
      <c r="T94" s="73"/>
      <c r="U94" s="74"/>
    </row>
    <row r="95" spans="2:21" s="15" customFormat="1" x14ac:dyDescent="0.25">
      <c r="B95" s="72" t="s">
        <v>3518</v>
      </c>
      <c r="C95" s="73"/>
      <c r="D95" s="73"/>
      <c r="E95" s="73"/>
      <c r="F95" s="73"/>
      <c r="G95" s="73"/>
      <c r="H95" s="73"/>
      <c r="I95" s="73"/>
      <c r="J95" s="73"/>
      <c r="K95" s="73"/>
      <c r="L95" s="73"/>
      <c r="M95" s="73"/>
      <c r="N95" s="73"/>
      <c r="O95" s="73"/>
      <c r="P95" s="73"/>
      <c r="Q95" s="73"/>
      <c r="R95" s="73"/>
      <c r="S95" s="73"/>
      <c r="T95" s="73"/>
      <c r="U95" s="74"/>
    </row>
    <row r="96" spans="2:21" s="15" customFormat="1" x14ac:dyDescent="0.25">
      <c r="B96" s="72" t="s">
        <v>3519</v>
      </c>
      <c r="C96" s="73"/>
      <c r="D96" s="73"/>
      <c r="E96" s="73"/>
      <c r="F96" s="73"/>
      <c r="G96" s="73"/>
      <c r="H96" s="73"/>
      <c r="I96" s="73"/>
      <c r="J96" s="73"/>
      <c r="K96" s="73"/>
      <c r="L96" s="73"/>
      <c r="M96" s="73"/>
      <c r="N96" s="73"/>
      <c r="O96" s="73"/>
      <c r="P96" s="73"/>
      <c r="Q96" s="73"/>
      <c r="R96" s="73"/>
      <c r="S96" s="73"/>
      <c r="T96" s="73"/>
      <c r="U96" s="74"/>
    </row>
    <row r="97" spans="2:21" s="15" customFormat="1" x14ac:dyDescent="0.25">
      <c r="B97" s="72" t="s">
        <v>3520</v>
      </c>
      <c r="C97" s="73"/>
      <c r="D97" s="73"/>
      <c r="E97" s="73"/>
      <c r="F97" s="73"/>
      <c r="G97" s="73"/>
      <c r="H97" s="73"/>
      <c r="I97" s="73"/>
      <c r="J97" s="73"/>
      <c r="K97" s="73"/>
      <c r="L97" s="73"/>
      <c r="M97" s="73"/>
      <c r="N97" s="73"/>
      <c r="O97" s="73"/>
      <c r="P97" s="73"/>
      <c r="Q97" s="73"/>
      <c r="R97" s="73"/>
      <c r="S97" s="73"/>
      <c r="T97" s="73"/>
      <c r="U97" s="74"/>
    </row>
    <row r="98" spans="2:21" s="15" customFormat="1" x14ac:dyDescent="0.25">
      <c r="B98" s="72" t="s">
        <v>3521</v>
      </c>
      <c r="C98" s="73"/>
      <c r="D98" s="73"/>
      <c r="E98" s="73"/>
      <c r="F98" s="73"/>
      <c r="G98" s="73"/>
      <c r="H98" s="73"/>
      <c r="I98" s="73"/>
      <c r="J98" s="73"/>
      <c r="K98" s="73"/>
      <c r="L98" s="73"/>
      <c r="M98" s="73"/>
      <c r="N98" s="73"/>
      <c r="O98" s="73"/>
      <c r="P98" s="73"/>
      <c r="Q98" s="73"/>
      <c r="R98" s="73"/>
      <c r="S98" s="73"/>
      <c r="T98" s="73"/>
      <c r="U98" s="74"/>
    </row>
    <row r="99" spans="2:21" s="15" customFormat="1" x14ac:dyDescent="0.25">
      <c r="B99" s="72" t="s">
        <v>3522</v>
      </c>
      <c r="C99" s="73"/>
      <c r="D99" s="73"/>
      <c r="E99" s="73"/>
      <c r="F99" s="73"/>
      <c r="G99" s="73"/>
      <c r="H99" s="73"/>
      <c r="I99" s="73"/>
      <c r="J99" s="73"/>
      <c r="K99" s="73"/>
      <c r="L99" s="73"/>
      <c r="M99" s="73"/>
      <c r="N99" s="73"/>
      <c r="O99" s="73"/>
      <c r="P99" s="73"/>
      <c r="Q99" s="73"/>
      <c r="R99" s="73"/>
      <c r="S99" s="73"/>
      <c r="T99" s="73"/>
      <c r="U99" s="74"/>
    </row>
    <row r="100" spans="2:21" s="15" customFormat="1" x14ac:dyDescent="0.25">
      <c r="B100" s="72" t="s">
        <v>3114</v>
      </c>
      <c r="C100" s="73"/>
      <c r="D100" s="73"/>
      <c r="E100" s="73"/>
      <c r="F100" s="73"/>
      <c r="G100" s="73"/>
      <c r="H100" s="73"/>
      <c r="I100" s="73"/>
      <c r="J100" s="73"/>
      <c r="K100" s="73"/>
      <c r="L100" s="73"/>
      <c r="M100" s="73"/>
      <c r="N100" s="73"/>
      <c r="O100" s="73"/>
      <c r="P100" s="73"/>
      <c r="Q100" s="73"/>
      <c r="R100" s="73"/>
      <c r="S100" s="73"/>
      <c r="T100" s="73"/>
      <c r="U100" s="74"/>
    </row>
    <row r="101" spans="2:21" s="15" customFormat="1" x14ac:dyDescent="0.25">
      <c r="B101" s="72" t="s">
        <v>3523</v>
      </c>
      <c r="C101" s="73"/>
      <c r="D101" s="73"/>
      <c r="E101" s="73"/>
      <c r="F101" s="73"/>
      <c r="G101" s="73"/>
      <c r="H101" s="73"/>
      <c r="I101" s="73"/>
      <c r="J101" s="73"/>
      <c r="K101" s="73"/>
      <c r="L101" s="73"/>
      <c r="M101" s="73"/>
      <c r="N101" s="73"/>
      <c r="O101" s="73"/>
      <c r="P101" s="73"/>
      <c r="Q101" s="73"/>
      <c r="R101" s="73"/>
      <c r="S101" s="73"/>
      <c r="T101" s="73"/>
      <c r="U101" s="74"/>
    </row>
    <row r="102" spans="2:21" s="15" customFormat="1" x14ac:dyDescent="0.25">
      <c r="B102" s="72" t="s">
        <v>3524</v>
      </c>
      <c r="C102" s="73"/>
      <c r="D102" s="73"/>
      <c r="E102" s="73"/>
      <c r="F102" s="73"/>
      <c r="G102" s="73"/>
      <c r="H102" s="73"/>
      <c r="I102" s="73"/>
      <c r="J102" s="73"/>
      <c r="K102" s="73"/>
      <c r="L102" s="73"/>
      <c r="M102" s="73"/>
      <c r="N102" s="73"/>
      <c r="O102" s="73"/>
      <c r="P102" s="73"/>
      <c r="Q102" s="73"/>
      <c r="R102" s="73"/>
      <c r="S102" s="73"/>
      <c r="T102" s="73"/>
      <c r="U102" s="74"/>
    </row>
    <row r="103" spans="2:21" s="15" customFormat="1" x14ac:dyDescent="0.25">
      <c r="B103" s="72" t="s">
        <v>3525</v>
      </c>
      <c r="C103" s="73"/>
      <c r="D103" s="73"/>
      <c r="E103" s="73"/>
      <c r="F103" s="73"/>
      <c r="G103" s="73"/>
      <c r="H103" s="73"/>
      <c r="I103" s="73"/>
      <c r="J103" s="73"/>
      <c r="K103" s="73"/>
      <c r="L103" s="73"/>
      <c r="M103" s="73"/>
      <c r="N103" s="73"/>
      <c r="O103" s="73"/>
      <c r="P103" s="73"/>
      <c r="Q103" s="73"/>
      <c r="R103" s="73"/>
      <c r="S103" s="73"/>
      <c r="T103" s="73"/>
      <c r="U103" s="74"/>
    </row>
    <row r="104" spans="2:21" s="15" customFormat="1" x14ac:dyDescent="0.25">
      <c r="B104" s="72" t="s">
        <v>3526</v>
      </c>
      <c r="C104" s="73"/>
      <c r="D104" s="73"/>
      <c r="E104" s="73"/>
      <c r="F104" s="73"/>
      <c r="G104" s="73"/>
      <c r="H104" s="73"/>
      <c r="I104" s="73"/>
      <c r="J104" s="73"/>
      <c r="K104" s="73"/>
      <c r="L104" s="73"/>
      <c r="M104" s="73"/>
      <c r="N104" s="73"/>
      <c r="O104" s="73"/>
      <c r="P104" s="73"/>
      <c r="Q104" s="73"/>
      <c r="R104" s="73"/>
      <c r="S104" s="73"/>
      <c r="T104" s="73"/>
      <c r="U104" s="74"/>
    </row>
    <row r="105" spans="2:21" s="15" customFormat="1" x14ac:dyDescent="0.25">
      <c r="B105" s="72" t="s">
        <v>3527</v>
      </c>
      <c r="C105" s="73"/>
      <c r="D105" s="73"/>
      <c r="E105" s="73"/>
      <c r="F105" s="73"/>
      <c r="G105" s="73"/>
      <c r="H105" s="73"/>
      <c r="I105" s="73"/>
      <c r="J105" s="73"/>
      <c r="K105" s="73"/>
      <c r="L105" s="73"/>
      <c r="M105" s="73"/>
      <c r="N105" s="73"/>
      <c r="O105" s="73"/>
      <c r="P105" s="73"/>
      <c r="Q105" s="73"/>
      <c r="R105" s="73"/>
      <c r="S105" s="73"/>
      <c r="T105" s="73"/>
      <c r="U105" s="74"/>
    </row>
    <row r="106" spans="2:21" s="15" customFormat="1" x14ac:dyDescent="0.25">
      <c r="B106" s="72" t="s">
        <v>3058</v>
      </c>
      <c r="C106" s="73"/>
      <c r="D106" s="73"/>
      <c r="E106" s="73"/>
      <c r="F106" s="73"/>
      <c r="G106" s="73"/>
      <c r="H106" s="73"/>
      <c r="I106" s="73"/>
      <c r="J106" s="73"/>
      <c r="K106" s="73"/>
      <c r="L106" s="73"/>
      <c r="M106" s="73"/>
      <c r="N106" s="73"/>
      <c r="O106" s="73"/>
      <c r="P106" s="73"/>
      <c r="Q106" s="73"/>
      <c r="R106" s="73"/>
      <c r="S106" s="73"/>
      <c r="T106" s="73"/>
      <c r="U106" s="74"/>
    </row>
    <row r="107" spans="2:21" s="15" customFormat="1" x14ac:dyDescent="0.25">
      <c r="B107" s="72" t="s">
        <v>3162</v>
      </c>
      <c r="C107" s="73"/>
      <c r="D107" s="73"/>
      <c r="E107" s="73"/>
      <c r="F107" s="73"/>
      <c r="G107" s="73"/>
      <c r="H107" s="73"/>
      <c r="I107" s="73"/>
      <c r="J107" s="73"/>
      <c r="K107" s="73"/>
      <c r="L107" s="73"/>
      <c r="M107" s="73"/>
      <c r="N107" s="73"/>
      <c r="O107" s="73"/>
      <c r="P107" s="73"/>
      <c r="Q107" s="73"/>
      <c r="R107" s="73"/>
      <c r="S107" s="73"/>
      <c r="T107" s="73"/>
      <c r="U107" s="74"/>
    </row>
    <row r="108" spans="2:21" s="15" customFormat="1" x14ac:dyDescent="0.25">
      <c r="B108" s="72" t="s">
        <v>3085</v>
      </c>
      <c r="C108" s="73"/>
      <c r="D108" s="73"/>
      <c r="E108" s="73"/>
      <c r="F108" s="73"/>
      <c r="G108" s="73"/>
      <c r="H108" s="73"/>
      <c r="I108" s="73"/>
      <c r="J108" s="73"/>
      <c r="K108" s="73"/>
      <c r="L108" s="73"/>
      <c r="M108" s="73"/>
      <c r="N108" s="73"/>
      <c r="O108" s="73"/>
      <c r="P108" s="73"/>
      <c r="Q108" s="73"/>
      <c r="R108" s="73"/>
      <c r="S108" s="73"/>
      <c r="T108" s="73"/>
      <c r="U108" s="74"/>
    </row>
    <row r="109" spans="2:21" s="15" customFormat="1" x14ac:dyDescent="0.25">
      <c r="B109" s="72" t="s">
        <v>3163</v>
      </c>
      <c r="C109" s="73"/>
      <c r="D109" s="73"/>
      <c r="E109" s="73"/>
      <c r="F109" s="73"/>
      <c r="G109" s="73"/>
      <c r="H109" s="73"/>
      <c r="I109" s="73"/>
      <c r="J109" s="73"/>
      <c r="K109" s="73"/>
      <c r="L109" s="73"/>
      <c r="M109" s="73"/>
      <c r="N109" s="73"/>
      <c r="O109" s="73"/>
      <c r="P109" s="73"/>
      <c r="Q109" s="73"/>
      <c r="R109" s="73"/>
      <c r="S109" s="73"/>
      <c r="T109" s="73"/>
      <c r="U109" s="74"/>
    </row>
    <row r="110" spans="2:21" s="15" customFormat="1" x14ac:dyDescent="0.25">
      <c r="B110" s="72" t="s">
        <v>3528</v>
      </c>
      <c r="C110" s="73"/>
      <c r="D110" s="73"/>
      <c r="E110" s="73"/>
      <c r="F110" s="73"/>
      <c r="G110" s="73"/>
      <c r="H110" s="73"/>
      <c r="I110" s="73"/>
      <c r="J110" s="73"/>
      <c r="K110" s="73"/>
      <c r="L110" s="73"/>
      <c r="M110" s="73"/>
      <c r="N110" s="73"/>
      <c r="O110" s="73"/>
      <c r="P110" s="73"/>
      <c r="Q110" s="73"/>
      <c r="R110" s="73"/>
      <c r="S110" s="73"/>
      <c r="T110" s="73"/>
      <c r="U110" s="74"/>
    </row>
    <row r="111" spans="2:21" s="15" customFormat="1" x14ac:dyDescent="0.25">
      <c r="B111" s="72" t="s">
        <v>3083</v>
      </c>
      <c r="C111" s="73"/>
      <c r="D111" s="73"/>
      <c r="E111" s="73"/>
      <c r="F111" s="73"/>
      <c r="G111" s="73"/>
      <c r="H111" s="73"/>
      <c r="I111" s="73"/>
      <c r="J111" s="73"/>
      <c r="K111" s="73"/>
      <c r="L111" s="73"/>
      <c r="M111" s="73"/>
      <c r="N111" s="73"/>
      <c r="O111" s="73"/>
      <c r="P111" s="73"/>
      <c r="Q111" s="73"/>
      <c r="R111" s="73"/>
      <c r="S111" s="73"/>
      <c r="T111" s="73"/>
      <c r="U111" s="74"/>
    </row>
    <row r="112" spans="2:21" s="15" customFormat="1" x14ac:dyDescent="0.25">
      <c r="B112" s="72" t="s">
        <v>3093</v>
      </c>
      <c r="C112" s="73"/>
      <c r="D112" s="73"/>
      <c r="E112" s="73"/>
      <c r="F112" s="73"/>
      <c r="G112" s="73"/>
      <c r="H112" s="73"/>
      <c r="I112" s="73"/>
      <c r="J112" s="73"/>
      <c r="K112" s="73"/>
      <c r="L112" s="73"/>
      <c r="M112" s="73"/>
      <c r="N112" s="73"/>
      <c r="O112" s="73"/>
      <c r="P112" s="73"/>
      <c r="Q112" s="73"/>
      <c r="R112" s="73"/>
      <c r="S112" s="73"/>
      <c r="T112" s="73"/>
      <c r="U112" s="74"/>
    </row>
    <row r="113" spans="2:21" s="15" customFormat="1" x14ac:dyDescent="0.25">
      <c r="B113" s="72" t="s">
        <v>3165</v>
      </c>
      <c r="C113" s="73"/>
      <c r="D113" s="73"/>
      <c r="E113" s="73"/>
      <c r="F113" s="73"/>
      <c r="G113" s="73"/>
      <c r="H113" s="73"/>
      <c r="I113" s="73"/>
      <c r="J113" s="73"/>
      <c r="K113" s="73"/>
      <c r="L113" s="73"/>
      <c r="M113" s="73"/>
      <c r="N113" s="73"/>
      <c r="O113" s="73"/>
      <c r="P113" s="73"/>
      <c r="Q113" s="73"/>
      <c r="R113" s="73"/>
      <c r="S113" s="73"/>
      <c r="T113" s="73"/>
      <c r="U113" s="74"/>
    </row>
    <row r="114" spans="2:21" s="15" customFormat="1" x14ac:dyDescent="0.25">
      <c r="B114" s="72" t="s">
        <v>3085</v>
      </c>
      <c r="C114" s="73"/>
      <c r="D114" s="73"/>
      <c r="E114" s="73"/>
      <c r="F114" s="73"/>
      <c r="G114" s="73"/>
      <c r="H114" s="73"/>
      <c r="I114" s="73"/>
      <c r="J114" s="73"/>
      <c r="K114" s="73"/>
      <c r="L114" s="73"/>
      <c r="M114" s="73"/>
      <c r="N114" s="73"/>
      <c r="O114" s="73"/>
      <c r="P114" s="73"/>
      <c r="Q114" s="73"/>
      <c r="R114" s="73"/>
      <c r="S114" s="73"/>
      <c r="T114" s="73"/>
      <c r="U114" s="74"/>
    </row>
    <row r="115" spans="2:21" s="15" customFormat="1" x14ac:dyDescent="0.25">
      <c r="B115" s="72" t="s">
        <v>3529</v>
      </c>
      <c r="C115" s="73"/>
      <c r="D115" s="73"/>
      <c r="E115" s="73"/>
      <c r="F115" s="73"/>
      <c r="G115" s="73"/>
      <c r="H115" s="73"/>
      <c r="I115" s="73"/>
      <c r="J115" s="73"/>
      <c r="K115" s="73"/>
      <c r="L115" s="73"/>
      <c r="M115" s="73"/>
      <c r="N115" s="73"/>
      <c r="O115" s="73"/>
      <c r="P115" s="73"/>
      <c r="Q115" s="73"/>
      <c r="R115" s="73"/>
      <c r="S115" s="73"/>
      <c r="T115" s="73"/>
      <c r="U115" s="74"/>
    </row>
    <row r="116" spans="2:21" s="15" customFormat="1" x14ac:dyDescent="0.25">
      <c r="B116" s="72" t="s">
        <v>3203</v>
      </c>
      <c r="C116" s="73"/>
      <c r="D116" s="73"/>
      <c r="E116" s="73"/>
      <c r="F116" s="73"/>
      <c r="G116" s="73"/>
      <c r="H116" s="73"/>
      <c r="I116" s="73"/>
      <c r="J116" s="73"/>
      <c r="K116" s="73"/>
      <c r="L116" s="73"/>
      <c r="M116" s="73"/>
      <c r="N116" s="73"/>
      <c r="O116" s="73"/>
      <c r="P116" s="73"/>
      <c r="Q116" s="73"/>
      <c r="R116" s="73"/>
      <c r="S116" s="73"/>
      <c r="T116" s="73"/>
      <c r="U116" s="74"/>
    </row>
    <row r="117" spans="2:21" s="15" customFormat="1" x14ac:dyDescent="0.25">
      <c r="B117" s="72" t="s">
        <v>3168</v>
      </c>
      <c r="C117" s="73"/>
      <c r="D117" s="73"/>
      <c r="E117" s="73"/>
      <c r="F117" s="73"/>
      <c r="G117" s="73"/>
      <c r="H117" s="73"/>
      <c r="I117" s="73"/>
      <c r="J117" s="73"/>
      <c r="K117" s="73"/>
      <c r="L117" s="73"/>
      <c r="M117" s="73"/>
      <c r="N117" s="73"/>
      <c r="O117" s="73"/>
      <c r="P117" s="73"/>
      <c r="Q117" s="73"/>
      <c r="R117" s="73"/>
      <c r="S117" s="73"/>
      <c r="T117" s="73"/>
      <c r="U117" s="74"/>
    </row>
    <row r="118" spans="2:21" s="15" customFormat="1" x14ac:dyDescent="0.25">
      <c r="B118" s="72" t="s">
        <v>3169</v>
      </c>
      <c r="C118" s="73"/>
      <c r="D118" s="73"/>
      <c r="E118" s="73"/>
      <c r="F118" s="73"/>
      <c r="G118" s="73"/>
      <c r="H118" s="73"/>
      <c r="I118" s="73"/>
      <c r="J118" s="73"/>
      <c r="K118" s="73"/>
      <c r="L118" s="73"/>
      <c r="M118" s="73"/>
      <c r="N118" s="73"/>
      <c r="O118" s="73"/>
      <c r="P118" s="73"/>
      <c r="Q118" s="73"/>
      <c r="R118" s="73"/>
      <c r="S118" s="73"/>
      <c r="T118" s="73"/>
      <c r="U118" s="74"/>
    </row>
    <row r="119" spans="2:21" s="15" customFormat="1" x14ac:dyDescent="0.25">
      <c r="B119" s="72" t="s">
        <v>3283</v>
      </c>
      <c r="C119" s="73"/>
      <c r="D119" s="73"/>
      <c r="E119" s="73"/>
      <c r="F119" s="73"/>
      <c r="G119" s="73"/>
      <c r="H119" s="73"/>
      <c r="I119" s="73"/>
      <c r="J119" s="73"/>
      <c r="K119" s="73"/>
      <c r="L119" s="73"/>
      <c r="M119" s="73"/>
      <c r="N119" s="73"/>
      <c r="O119" s="73"/>
      <c r="P119" s="73"/>
      <c r="Q119" s="73"/>
      <c r="R119" s="73"/>
      <c r="S119" s="73"/>
      <c r="T119" s="73"/>
      <c r="U119" s="74"/>
    </row>
    <row r="120" spans="2:21" s="15" customFormat="1" x14ac:dyDescent="0.25">
      <c r="B120" s="72" t="s">
        <v>3530</v>
      </c>
      <c r="C120" s="73"/>
      <c r="D120" s="73"/>
      <c r="E120" s="73"/>
      <c r="F120" s="73"/>
      <c r="G120" s="73"/>
      <c r="H120" s="73"/>
      <c r="I120" s="73"/>
      <c r="J120" s="73"/>
      <c r="K120" s="73"/>
      <c r="L120" s="73"/>
      <c r="M120" s="73"/>
      <c r="N120" s="73"/>
      <c r="O120" s="73"/>
      <c r="P120" s="73"/>
      <c r="Q120" s="73"/>
      <c r="R120" s="73"/>
      <c r="S120" s="73"/>
      <c r="T120" s="73"/>
      <c r="U120" s="74"/>
    </row>
    <row r="121" spans="2:21" s="15" customFormat="1" x14ac:dyDescent="0.25">
      <c r="B121" s="72" t="s">
        <v>3172</v>
      </c>
      <c r="C121" s="73"/>
      <c r="D121" s="73"/>
      <c r="E121" s="73"/>
      <c r="F121" s="73"/>
      <c r="G121" s="73"/>
      <c r="H121" s="73"/>
      <c r="I121" s="73"/>
      <c r="J121" s="73"/>
      <c r="K121" s="73"/>
      <c r="L121" s="73"/>
      <c r="M121" s="73"/>
      <c r="N121" s="73"/>
      <c r="O121" s="73"/>
      <c r="P121" s="73"/>
      <c r="Q121" s="73"/>
      <c r="R121" s="73"/>
      <c r="S121" s="73"/>
      <c r="T121" s="73"/>
      <c r="U121" s="74"/>
    </row>
    <row r="122" spans="2:21" s="15" customFormat="1" x14ac:dyDescent="0.25">
      <c r="B122" s="72" t="s">
        <v>3285</v>
      </c>
      <c r="C122" s="73"/>
      <c r="D122" s="73"/>
      <c r="E122" s="73"/>
      <c r="F122" s="73"/>
      <c r="G122" s="73"/>
      <c r="H122" s="73"/>
      <c r="I122" s="73"/>
      <c r="J122" s="73"/>
      <c r="K122" s="73"/>
      <c r="L122" s="73"/>
      <c r="M122" s="73"/>
      <c r="N122" s="73"/>
      <c r="O122" s="73"/>
      <c r="P122" s="73"/>
      <c r="Q122" s="73"/>
      <c r="R122" s="73"/>
      <c r="S122" s="73"/>
      <c r="T122" s="73"/>
      <c r="U122" s="74"/>
    </row>
    <row r="123" spans="2:21" s="15" customFormat="1" x14ac:dyDescent="0.25">
      <c r="B123" s="72" t="s">
        <v>3391</v>
      </c>
      <c r="C123" s="73"/>
      <c r="D123" s="73"/>
      <c r="E123" s="73"/>
      <c r="F123" s="73"/>
      <c r="G123" s="73"/>
      <c r="H123" s="73"/>
      <c r="I123" s="73"/>
      <c r="J123" s="73"/>
      <c r="K123" s="73"/>
      <c r="L123" s="73"/>
      <c r="M123" s="73"/>
      <c r="N123" s="73"/>
      <c r="O123" s="73"/>
      <c r="P123" s="73"/>
      <c r="Q123" s="73"/>
      <c r="R123" s="73"/>
      <c r="S123" s="73"/>
      <c r="T123" s="73"/>
      <c r="U123" s="74"/>
    </row>
    <row r="124" spans="2:21" s="15" customFormat="1" x14ac:dyDescent="0.25">
      <c r="B124" s="72" t="s">
        <v>3287</v>
      </c>
      <c r="C124" s="73"/>
      <c r="D124" s="73"/>
      <c r="E124" s="73"/>
      <c r="F124" s="73"/>
      <c r="G124" s="73"/>
      <c r="H124" s="73"/>
      <c r="I124" s="73"/>
      <c r="J124" s="73"/>
      <c r="K124" s="73"/>
      <c r="L124" s="73"/>
      <c r="M124" s="73"/>
      <c r="N124" s="73"/>
      <c r="O124" s="73"/>
      <c r="P124" s="73"/>
      <c r="Q124" s="73"/>
      <c r="R124" s="73"/>
      <c r="S124" s="73"/>
      <c r="T124" s="73"/>
      <c r="U124" s="74"/>
    </row>
    <row r="125" spans="2:21" s="15" customFormat="1" x14ac:dyDescent="0.25">
      <c r="B125" s="72" t="s">
        <v>3176</v>
      </c>
      <c r="C125" s="73"/>
      <c r="D125" s="73"/>
      <c r="E125" s="73"/>
      <c r="F125" s="73"/>
      <c r="G125" s="73"/>
      <c r="H125" s="73"/>
      <c r="I125" s="73"/>
      <c r="J125" s="73"/>
      <c r="K125" s="73"/>
      <c r="L125" s="73"/>
      <c r="M125" s="73"/>
      <c r="N125" s="73"/>
      <c r="O125" s="73"/>
      <c r="P125" s="73"/>
      <c r="Q125" s="73"/>
      <c r="R125" s="73"/>
      <c r="S125" s="73"/>
      <c r="T125" s="73"/>
      <c r="U125" s="74"/>
    </row>
    <row r="126" spans="2:21" s="15" customFormat="1" x14ac:dyDescent="0.25">
      <c r="B126" s="72" t="s">
        <v>3288</v>
      </c>
      <c r="C126" s="73"/>
      <c r="D126" s="73"/>
      <c r="E126" s="73"/>
      <c r="F126" s="73"/>
      <c r="G126" s="73"/>
      <c r="H126" s="73"/>
      <c r="I126" s="73"/>
      <c r="J126" s="73"/>
      <c r="K126" s="73"/>
      <c r="L126" s="73"/>
      <c r="M126" s="73"/>
      <c r="N126" s="73"/>
      <c r="O126" s="73"/>
      <c r="P126" s="73"/>
      <c r="Q126" s="73"/>
      <c r="R126" s="73"/>
      <c r="S126" s="73"/>
      <c r="T126" s="73"/>
      <c r="U126" s="74"/>
    </row>
    <row r="127" spans="2:21" s="15" customFormat="1" x14ac:dyDescent="0.25">
      <c r="B127" s="72" t="s">
        <v>3289</v>
      </c>
      <c r="C127" s="73"/>
      <c r="D127" s="73"/>
      <c r="E127" s="73"/>
      <c r="F127" s="73"/>
      <c r="G127" s="73"/>
      <c r="H127" s="73"/>
      <c r="I127" s="73"/>
      <c r="J127" s="73"/>
      <c r="K127" s="73"/>
      <c r="L127" s="73"/>
      <c r="M127" s="73"/>
      <c r="N127" s="73"/>
      <c r="O127" s="73"/>
      <c r="P127" s="73"/>
      <c r="Q127" s="73"/>
      <c r="R127" s="73"/>
      <c r="S127" s="73"/>
      <c r="T127" s="73"/>
      <c r="U127" s="74"/>
    </row>
    <row r="128" spans="2:21" s="15" customFormat="1" x14ac:dyDescent="0.25">
      <c r="B128" s="72" t="s">
        <v>3294</v>
      </c>
      <c r="C128" s="73"/>
      <c r="D128" s="73"/>
      <c r="E128" s="73"/>
      <c r="F128" s="73"/>
      <c r="G128" s="73"/>
      <c r="H128" s="73"/>
      <c r="I128" s="73"/>
      <c r="J128" s="73"/>
      <c r="K128" s="73"/>
      <c r="L128" s="73"/>
      <c r="M128" s="73"/>
      <c r="N128" s="73"/>
      <c r="O128" s="73"/>
      <c r="P128" s="73"/>
      <c r="Q128" s="73"/>
      <c r="R128" s="73"/>
      <c r="S128" s="73"/>
      <c r="T128" s="73"/>
      <c r="U128" s="74"/>
    </row>
    <row r="129" spans="2:21" s="15" customFormat="1" x14ac:dyDescent="0.25">
      <c r="B129" s="72" t="s">
        <v>3293</v>
      </c>
      <c r="C129" s="73"/>
      <c r="D129" s="73"/>
      <c r="E129" s="73"/>
      <c r="F129" s="73"/>
      <c r="G129" s="73"/>
      <c r="H129" s="73"/>
      <c r="I129" s="73"/>
      <c r="J129" s="73"/>
      <c r="K129" s="73"/>
      <c r="L129" s="73"/>
      <c r="M129" s="73"/>
      <c r="N129" s="73"/>
      <c r="O129" s="73"/>
      <c r="P129" s="73"/>
      <c r="Q129" s="73"/>
      <c r="R129" s="73"/>
      <c r="S129" s="73"/>
      <c r="T129" s="73"/>
      <c r="U129" s="74"/>
    </row>
    <row r="130" spans="2:21" s="15" customFormat="1" x14ac:dyDescent="0.25">
      <c r="B130" s="72" t="s">
        <v>3181</v>
      </c>
      <c r="C130" s="73"/>
      <c r="D130" s="73"/>
      <c r="E130" s="73"/>
      <c r="F130" s="73"/>
      <c r="G130" s="73"/>
      <c r="H130" s="73"/>
      <c r="I130" s="73"/>
      <c r="J130" s="73"/>
      <c r="K130" s="73"/>
      <c r="L130" s="73"/>
      <c r="M130" s="73"/>
      <c r="N130" s="73"/>
      <c r="O130" s="73"/>
      <c r="P130" s="73"/>
      <c r="Q130" s="73"/>
      <c r="R130" s="73"/>
      <c r="S130" s="73"/>
      <c r="T130" s="73"/>
      <c r="U130" s="74"/>
    </row>
    <row r="131" spans="2:21" s="15" customFormat="1" x14ac:dyDescent="0.25">
      <c r="B131" s="72" t="s">
        <v>3085</v>
      </c>
      <c r="C131" s="73"/>
      <c r="D131" s="73"/>
      <c r="E131" s="73"/>
      <c r="F131" s="73"/>
      <c r="G131" s="73"/>
      <c r="H131" s="73"/>
      <c r="I131" s="73"/>
      <c r="J131" s="73"/>
      <c r="K131" s="73"/>
      <c r="L131" s="73"/>
      <c r="M131" s="73"/>
      <c r="N131" s="73"/>
      <c r="O131" s="73"/>
      <c r="P131" s="73"/>
      <c r="Q131" s="73"/>
      <c r="R131" s="73"/>
      <c r="S131" s="73"/>
      <c r="T131" s="73"/>
      <c r="U131" s="74"/>
    </row>
    <row r="132" spans="2:21" s="15" customFormat="1" x14ac:dyDescent="0.25">
      <c r="B132" s="72" t="s">
        <v>3529</v>
      </c>
      <c r="C132" s="73"/>
      <c r="D132" s="73"/>
      <c r="E132" s="73"/>
      <c r="F132" s="73"/>
      <c r="G132" s="73"/>
      <c r="H132" s="73"/>
      <c r="I132" s="73"/>
      <c r="J132" s="73"/>
      <c r="K132" s="73"/>
      <c r="L132" s="73"/>
      <c r="M132" s="73"/>
      <c r="N132" s="73"/>
      <c r="O132" s="73"/>
      <c r="P132" s="73"/>
      <c r="Q132" s="73"/>
      <c r="R132" s="73"/>
      <c r="S132" s="73"/>
      <c r="T132" s="73"/>
      <c r="U132" s="74"/>
    </row>
    <row r="133" spans="2:21" s="15" customFormat="1" x14ac:dyDescent="0.25">
      <c r="B133" s="72" t="s">
        <v>3167</v>
      </c>
      <c r="C133" s="73"/>
      <c r="D133" s="73"/>
      <c r="E133" s="73"/>
      <c r="F133" s="73"/>
      <c r="G133" s="73"/>
      <c r="H133" s="73"/>
      <c r="I133" s="73"/>
      <c r="J133" s="73"/>
      <c r="K133" s="73"/>
      <c r="L133" s="73"/>
      <c r="M133" s="73"/>
      <c r="N133" s="73"/>
      <c r="O133" s="73"/>
      <c r="P133" s="73"/>
      <c r="Q133" s="73"/>
      <c r="R133" s="73"/>
      <c r="S133" s="73"/>
      <c r="T133" s="73"/>
      <c r="U133" s="74"/>
    </row>
    <row r="134" spans="2:21" s="15" customFormat="1" x14ac:dyDescent="0.25">
      <c r="B134" s="72" t="s">
        <v>3168</v>
      </c>
      <c r="C134" s="73"/>
      <c r="D134" s="73"/>
      <c r="E134" s="73"/>
      <c r="F134" s="73"/>
      <c r="G134" s="73"/>
      <c r="H134" s="73"/>
      <c r="I134" s="73"/>
      <c r="J134" s="73"/>
      <c r="K134" s="73"/>
      <c r="L134" s="73"/>
      <c r="M134" s="73"/>
      <c r="N134" s="73"/>
      <c r="O134" s="73"/>
      <c r="P134" s="73"/>
      <c r="Q134" s="73"/>
      <c r="R134" s="73"/>
      <c r="S134" s="73"/>
      <c r="T134" s="73"/>
      <c r="U134" s="74"/>
    </row>
    <row r="135" spans="2:21" s="15" customFormat="1" x14ac:dyDescent="0.25">
      <c r="B135" s="72" t="s">
        <v>3169</v>
      </c>
      <c r="C135" s="73"/>
      <c r="D135" s="73"/>
      <c r="E135" s="73"/>
      <c r="F135" s="73"/>
      <c r="G135" s="73"/>
      <c r="H135" s="73"/>
      <c r="I135" s="73"/>
      <c r="J135" s="73"/>
      <c r="K135" s="73"/>
      <c r="L135" s="73"/>
      <c r="M135" s="73"/>
      <c r="N135" s="73"/>
      <c r="O135" s="73"/>
      <c r="P135" s="73"/>
      <c r="Q135" s="73"/>
      <c r="R135" s="73"/>
      <c r="S135" s="73"/>
      <c r="T135" s="73"/>
      <c r="U135" s="74"/>
    </row>
    <row r="136" spans="2:21" s="15" customFormat="1" x14ac:dyDescent="0.25">
      <c r="B136" s="72" t="s">
        <v>3170</v>
      </c>
      <c r="C136" s="73"/>
      <c r="D136" s="73"/>
      <c r="E136" s="73"/>
      <c r="F136" s="73"/>
      <c r="G136" s="73"/>
      <c r="H136" s="73"/>
      <c r="I136" s="73"/>
      <c r="J136" s="73"/>
      <c r="K136" s="73"/>
      <c r="L136" s="73"/>
      <c r="M136" s="73"/>
      <c r="N136" s="73"/>
      <c r="O136" s="73"/>
      <c r="P136" s="73"/>
      <c r="Q136" s="73"/>
      <c r="R136" s="73"/>
      <c r="S136" s="73"/>
      <c r="T136" s="73"/>
      <c r="U136" s="74"/>
    </row>
    <row r="137" spans="2:21" s="15" customFormat="1" x14ac:dyDescent="0.25">
      <c r="B137" s="72" t="s">
        <v>3284</v>
      </c>
      <c r="C137" s="73"/>
      <c r="D137" s="73"/>
      <c r="E137" s="73"/>
      <c r="F137" s="73"/>
      <c r="G137" s="73"/>
      <c r="H137" s="73"/>
      <c r="I137" s="73"/>
      <c r="J137" s="73"/>
      <c r="K137" s="73"/>
      <c r="L137" s="73"/>
      <c r="M137" s="73"/>
      <c r="N137" s="73"/>
      <c r="O137" s="73"/>
      <c r="P137" s="73"/>
      <c r="Q137" s="73"/>
      <c r="R137" s="73"/>
      <c r="S137" s="73"/>
      <c r="T137" s="73"/>
      <c r="U137" s="74"/>
    </row>
    <row r="138" spans="2:21" s="15" customFormat="1" x14ac:dyDescent="0.25">
      <c r="B138" s="72" t="s">
        <v>3172</v>
      </c>
      <c r="C138" s="73"/>
      <c r="D138" s="73"/>
      <c r="E138" s="73"/>
      <c r="F138" s="73"/>
      <c r="G138" s="73"/>
      <c r="H138" s="73"/>
      <c r="I138" s="73"/>
      <c r="J138" s="73"/>
      <c r="K138" s="73"/>
      <c r="L138" s="73"/>
      <c r="M138" s="73"/>
      <c r="N138" s="73"/>
      <c r="O138" s="73"/>
      <c r="P138" s="73"/>
      <c r="Q138" s="73"/>
      <c r="R138" s="73"/>
      <c r="S138" s="73"/>
      <c r="T138" s="73"/>
      <c r="U138" s="74"/>
    </row>
    <row r="139" spans="2:21" s="15" customFormat="1" x14ac:dyDescent="0.25">
      <c r="B139" s="72" t="s">
        <v>3285</v>
      </c>
      <c r="C139" s="73"/>
      <c r="D139" s="73"/>
      <c r="E139" s="73"/>
      <c r="F139" s="73"/>
      <c r="G139" s="73"/>
      <c r="H139" s="73"/>
      <c r="I139" s="73"/>
      <c r="J139" s="73"/>
      <c r="K139" s="73"/>
      <c r="L139" s="73"/>
      <c r="M139" s="73"/>
      <c r="N139" s="73"/>
      <c r="O139" s="73"/>
      <c r="P139" s="73"/>
      <c r="Q139" s="73"/>
      <c r="R139" s="73"/>
      <c r="S139" s="73"/>
      <c r="T139" s="73"/>
      <c r="U139" s="74"/>
    </row>
    <row r="140" spans="2:21" s="15" customFormat="1" x14ac:dyDescent="0.25">
      <c r="B140" s="72" t="s">
        <v>3391</v>
      </c>
      <c r="C140" s="73"/>
      <c r="D140" s="73"/>
      <c r="E140" s="73"/>
      <c r="F140" s="73"/>
      <c r="G140" s="73"/>
      <c r="H140" s="73"/>
      <c r="I140" s="73"/>
      <c r="J140" s="73"/>
      <c r="K140" s="73"/>
      <c r="L140" s="73"/>
      <c r="M140" s="73"/>
      <c r="N140" s="73"/>
      <c r="O140" s="73"/>
      <c r="P140" s="73"/>
      <c r="Q140" s="73"/>
      <c r="R140" s="73"/>
      <c r="S140" s="73"/>
      <c r="T140" s="73"/>
      <c r="U140" s="74"/>
    </row>
    <row r="141" spans="2:21" s="15" customFormat="1" x14ac:dyDescent="0.25">
      <c r="B141" s="72" t="s">
        <v>3287</v>
      </c>
      <c r="C141" s="73"/>
      <c r="D141" s="73"/>
      <c r="E141" s="73"/>
      <c r="F141" s="73"/>
      <c r="G141" s="73"/>
      <c r="H141" s="73"/>
      <c r="I141" s="73"/>
      <c r="J141" s="73"/>
      <c r="K141" s="73"/>
      <c r="L141" s="73"/>
      <c r="M141" s="73"/>
      <c r="N141" s="73"/>
      <c r="O141" s="73"/>
      <c r="P141" s="73"/>
      <c r="Q141" s="73"/>
      <c r="R141" s="73"/>
      <c r="S141" s="73"/>
      <c r="T141" s="73"/>
      <c r="U141" s="74"/>
    </row>
    <row r="142" spans="2:21" s="15" customFormat="1" x14ac:dyDescent="0.25">
      <c r="B142" s="72" t="s">
        <v>3176</v>
      </c>
      <c r="C142" s="73"/>
      <c r="D142" s="73"/>
      <c r="E142" s="73"/>
      <c r="F142" s="73"/>
      <c r="G142" s="73"/>
      <c r="H142" s="73"/>
      <c r="I142" s="73"/>
      <c r="J142" s="73"/>
      <c r="K142" s="73"/>
      <c r="L142" s="73"/>
      <c r="M142" s="73"/>
      <c r="N142" s="73"/>
      <c r="O142" s="73"/>
      <c r="P142" s="73"/>
      <c r="Q142" s="73"/>
      <c r="R142" s="73"/>
      <c r="S142" s="73"/>
      <c r="T142" s="73"/>
      <c r="U142" s="74"/>
    </row>
    <row r="143" spans="2:21" s="15" customFormat="1" x14ac:dyDescent="0.25">
      <c r="B143" s="72" t="s">
        <v>3288</v>
      </c>
      <c r="C143" s="73"/>
      <c r="D143" s="73"/>
      <c r="E143" s="73"/>
      <c r="F143" s="73"/>
      <c r="G143" s="73"/>
      <c r="H143" s="73"/>
      <c r="I143" s="73"/>
      <c r="J143" s="73"/>
      <c r="K143" s="73"/>
      <c r="L143" s="73"/>
      <c r="M143" s="73"/>
      <c r="N143" s="73"/>
      <c r="O143" s="73"/>
      <c r="P143" s="73"/>
      <c r="Q143" s="73"/>
      <c r="R143" s="73"/>
      <c r="S143" s="73"/>
      <c r="T143" s="73"/>
      <c r="U143" s="74"/>
    </row>
    <row r="144" spans="2:21" s="15" customFormat="1" x14ac:dyDescent="0.25">
      <c r="B144" s="72" t="s">
        <v>3289</v>
      </c>
      <c r="C144" s="73"/>
      <c r="D144" s="73"/>
      <c r="E144" s="73"/>
      <c r="F144" s="73"/>
      <c r="G144" s="73"/>
      <c r="H144" s="73"/>
      <c r="I144" s="73"/>
      <c r="J144" s="73"/>
      <c r="K144" s="73"/>
      <c r="L144" s="73"/>
      <c r="M144" s="73"/>
      <c r="N144" s="73"/>
      <c r="O144" s="73"/>
      <c r="P144" s="73"/>
      <c r="Q144" s="73"/>
      <c r="R144" s="73"/>
      <c r="S144" s="73"/>
      <c r="T144" s="73"/>
      <c r="U144" s="74"/>
    </row>
    <row r="145" spans="2:21" s="15" customFormat="1" x14ac:dyDescent="0.25">
      <c r="B145" s="72" t="s">
        <v>3179</v>
      </c>
      <c r="C145" s="73"/>
      <c r="D145" s="73"/>
      <c r="E145" s="73"/>
      <c r="F145" s="73"/>
      <c r="G145" s="73"/>
      <c r="H145" s="73"/>
      <c r="I145" s="73"/>
      <c r="J145" s="73"/>
      <c r="K145" s="73"/>
      <c r="L145" s="73"/>
      <c r="M145" s="73"/>
      <c r="N145" s="73"/>
      <c r="O145" s="73"/>
      <c r="P145" s="73"/>
      <c r="Q145" s="73"/>
      <c r="R145" s="73"/>
      <c r="S145" s="73"/>
      <c r="T145" s="73"/>
      <c r="U145" s="74"/>
    </row>
    <row r="146" spans="2:21" s="15" customFormat="1" x14ac:dyDescent="0.25">
      <c r="B146" s="72" t="s">
        <v>3180</v>
      </c>
      <c r="C146" s="73"/>
      <c r="D146" s="73"/>
      <c r="E146" s="73"/>
      <c r="F146" s="73"/>
      <c r="G146" s="73"/>
      <c r="H146" s="73"/>
      <c r="I146" s="73"/>
      <c r="J146" s="73"/>
      <c r="K146" s="73"/>
      <c r="L146" s="73"/>
      <c r="M146" s="73"/>
      <c r="N146" s="73"/>
      <c r="O146" s="73"/>
      <c r="P146" s="73"/>
      <c r="Q146" s="73"/>
      <c r="R146" s="73"/>
      <c r="S146" s="73"/>
      <c r="T146" s="73"/>
      <c r="U146" s="74"/>
    </row>
    <row r="147" spans="2:21" s="15" customFormat="1" x14ac:dyDescent="0.25">
      <c r="B147" s="72" t="s">
        <v>3181</v>
      </c>
      <c r="C147" s="73"/>
      <c r="D147" s="73"/>
      <c r="E147" s="73"/>
      <c r="F147" s="73"/>
      <c r="G147" s="73"/>
      <c r="H147" s="73"/>
      <c r="I147" s="73"/>
      <c r="J147" s="73"/>
      <c r="K147" s="73"/>
      <c r="L147" s="73"/>
      <c r="M147" s="73"/>
      <c r="N147" s="73"/>
      <c r="O147" s="73"/>
      <c r="P147" s="73"/>
      <c r="Q147" s="73"/>
      <c r="R147" s="73"/>
      <c r="S147" s="73"/>
      <c r="T147" s="73"/>
      <c r="U147" s="74"/>
    </row>
    <row r="148" spans="2:21" s="15" customFormat="1" x14ac:dyDescent="0.25">
      <c r="B148" s="72" t="s">
        <v>3085</v>
      </c>
      <c r="C148" s="73"/>
      <c r="D148" s="73"/>
      <c r="E148" s="73"/>
      <c r="F148" s="73"/>
      <c r="G148" s="73"/>
      <c r="H148" s="73"/>
      <c r="I148" s="73"/>
      <c r="J148" s="73"/>
      <c r="K148" s="73"/>
      <c r="L148" s="73"/>
      <c r="M148" s="73"/>
      <c r="N148" s="73"/>
      <c r="O148" s="73"/>
      <c r="P148" s="73"/>
      <c r="Q148" s="73"/>
      <c r="R148" s="73"/>
      <c r="S148" s="73"/>
      <c r="T148" s="73"/>
      <c r="U148" s="74"/>
    </row>
    <row r="149" spans="2:21" s="15" customFormat="1" x14ac:dyDescent="0.25">
      <c r="B149" s="72" t="s">
        <v>3531</v>
      </c>
      <c r="C149" s="73"/>
      <c r="D149" s="73"/>
      <c r="E149" s="73"/>
      <c r="F149" s="73"/>
      <c r="G149" s="73"/>
      <c r="H149" s="73"/>
      <c r="I149" s="73"/>
      <c r="J149" s="73"/>
      <c r="K149" s="73"/>
      <c r="L149" s="73"/>
      <c r="M149" s="73"/>
      <c r="N149" s="73"/>
      <c r="O149" s="73"/>
      <c r="P149" s="73"/>
      <c r="Q149" s="73"/>
      <c r="R149" s="73"/>
      <c r="S149" s="73"/>
      <c r="T149" s="73"/>
      <c r="U149" s="74"/>
    </row>
    <row r="150" spans="2:21" s="15" customFormat="1" x14ac:dyDescent="0.25">
      <c r="B150" s="72" t="s">
        <v>3183</v>
      </c>
      <c r="C150" s="73"/>
      <c r="D150" s="73"/>
      <c r="E150" s="73"/>
      <c r="F150" s="73"/>
      <c r="G150" s="73"/>
      <c r="H150" s="73"/>
      <c r="I150" s="73"/>
      <c r="J150" s="73"/>
      <c r="K150" s="73"/>
      <c r="L150" s="73"/>
      <c r="M150" s="73"/>
      <c r="N150" s="73"/>
      <c r="O150" s="73"/>
      <c r="P150" s="73"/>
      <c r="Q150" s="73"/>
      <c r="R150" s="73"/>
      <c r="S150" s="73"/>
      <c r="T150" s="73"/>
      <c r="U150" s="74"/>
    </row>
    <row r="151" spans="2:21" s="15" customFormat="1" x14ac:dyDescent="0.25">
      <c r="B151" s="72" t="s">
        <v>3168</v>
      </c>
      <c r="C151" s="73"/>
      <c r="D151" s="73"/>
      <c r="E151" s="73"/>
      <c r="F151" s="73"/>
      <c r="G151" s="73"/>
      <c r="H151" s="73"/>
      <c r="I151" s="73"/>
      <c r="J151" s="73"/>
      <c r="K151" s="73"/>
      <c r="L151" s="73"/>
      <c r="M151" s="73"/>
      <c r="N151" s="73"/>
      <c r="O151" s="73"/>
      <c r="P151" s="73"/>
      <c r="Q151" s="73"/>
      <c r="R151" s="73"/>
      <c r="S151" s="73"/>
      <c r="T151" s="73"/>
      <c r="U151" s="74"/>
    </row>
    <row r="152" spans="2:21" s="15" customFormat="1" x14ac:dyDescent="0.25">
      <c r="B152" s="72" t="s">
        <v>3169</v>
      </c>
      <c r="C152" s="73"/>
      <c r="D152" s="73"/>
      <c r="E152" s="73"/>
      <c r="F152" s="73"/>
      <c r="G152" s="73"/>
      <c r="H152" s="73"/>
      <c r="I152" s="73"/>
      <c r="J152" s="73"/>
      <c r="K152" s="73"/>
      <c r="L152" s="73"/>
      <c r="M152" s="73"/>
      <c r="N152" s="73"/>
      <c r="O152" s="73"/>
      <c r="P152" s="73"/>
      <c r="Q152" s="73"/>
      <c r="R152" s="73"/>
      <c r="S152" s="73"/>
      <c r="T152" s="73"/>
      <c r="U152" s="74"/>
    </row>
    <row r="153" spans="2:21" s="15" customFormat="1" x14ac:dyDescent="0.25">
      <c r="B153" s="72" t="s">
        <v>3170</v>
      </c>
      <c r="C153" s="73"/>
      <c r="D153" s="73"/>
      <c r="E153" s="73"/>
      <c r="F153" s="73"/>
      <c r="G153" s="73"/>
      <c r="H153" s="73"/>
      <c r="I153" s="73"/>
      <c r="J153" s="73"/>
      <c r="K153" s="73"/>
      <c r="L153" s="73"/>
      <c r="M153" s="73"/>
      <c r="N153" s="73"/>
      <c r="O153" s="73"/>
      <c r="P153" s="73"/>
      <c r="Q153" s="73"/>
      <c r="R153" s="73"/>
      <c r="S153" s="73"/>
      <c r="T153" s="73"/>
      <c r="U153" s="74"/>
    </row>
    <row r="154" spans="2:21" s="15" customFormat="1" x14ac:dyDescent="0.25">
      <c r="B154" s="72" t="s">
        <v>3530</v>
      </c>
      <c r="C154" s="73"/>
      <c r="D154" s="73"/>
      <c r="E154" s="73"/>
      <c r="F154" s="73"/>
      <c r="G154" s="73"/>
      <c r="H154" s="73"/>
      <c r="I154" s="73"/>
      <c r="J154" s="73"/>
      <c r="K154" s="73"/>
      <c r="L154" s="73"/>
      <c r="M154" s="73"/>
      <c r="N154" s="73"/>
      <c r="O154" s="73"/>
      <c r="P154" s="73"/>
      <c r="Q154" s="73"/>
      <c r="R154" s="73"/>
      <c r="S154" s="73"/>
      <c r="T154" s="73"/>
      <c r="U154" s="74"/>
    </row>
    <row r="155" spans="2:21" s="15" customFormat="1" x14ac:dyDescent="0.25">
      <c r="B155" s="72" t="s">
        <v>3172</v>
      </c>
      <c r="C155" s="73"/>
      <c r="D155" s="73"/>
      <c r="E155" s="73"/>
      <c r="F155" s="73"/>
      <c r="G155" s="73"/>
      <c r="H155" s="73"/>
      <c r="I155" s="73"/>
      <c r="J155" s="73"/>
      <c r="K155" s="73"/>
      <c r="L155" s="73"/>
      <c r="M155" s="73"/>
      <c r="N155" s="73"/>
      <c r="O155" s="73"/>
      <c r="P155" s="73"/>
      <c r="Q155" s="73"/>
      <c r="R155" s="73"/>
      <c r="S155" s="73"/>
      <c r="T155" s="73"/>
      <c r="U155" s="74"/>
    </row>
    <row r="156" spans="2:21" s="15" customFormat="1" x14ac:dyDescent="0.25">
      <c r="B156" s="72" t="s">
        <v>3285</v>
      </c>
      <c r="C156" s="73"/>
      <c r="D156" s="73"/>
      <c r="E156" s="73"/>
      <c r="F156" s="73"/>
      <c r="G156" s="73"/>
      <c r="H156" s="73"/>
      <c r="I156" s="73"/>
      <c r="J156" s="73"/>
      <c r="K156" s="73"/>
      <c r="L156" s="73"/>
      <c r="M156" s="73"/>
      <c r="N156" s="73"/>
      <c r="O156" s="73"/>
      <c r="P156" s="73"/>
      <c r="Q156" s="73"/>
      <c r="R156" s="73"/>
      <c r="S156" s="73"/>
      <c r="T156" s="73"/>
      <c r="U156" s="74"/>
    </row>
    <row r="157" spans="2:21" s="15" customFormat="1" x14ac:dyDescent="0.25">
      <c r="B157" s="72" t="s">
        <v>3286</v>
      </c>
      <c r="C157" s="73"/>
      <c r="D157" s="73"/>
      <c r="E157" s="73"/>
      <c r="F157" s="73"/>
      <c r="G157" s="73"/>
      <c r="H157" s="73"/>
      <c r="I157" s="73"/>
      <c r="J157" s="73"/>
      <c r="K157" s="73"/>
      <c r="L157" s="73"/>
      <c r="M157" s="73"/>
      <c r="N157" s="73"/>
      <c r="O157" s="73"/>
      <c r="P157" s="73"/>
      <c r="Q157" s="73"/>
      <c r="R157" s="73"/>
      <c r="S157" s="73"/>
      <c r="T157" s="73"/>
      <c r="U157" s="74"/>
    </row>
    <row r="158" spans="2:21" s="15" customFormat="1" x14ac:dyDescent="0.25">
      <c r="B158" s="72" t="s">
        <v>3175</v>
      </c>
      <c r="C158" s="73"/>
      <c r="D158" s="73"/>
      <c r="E158" s="73"/>
      <c r="F158" s="73"/>
      <c r="G158" s="73"/>
      <c r="H158" s="73"/>
      <c r="I158" s="73"/>
      <c r="J158" s="73"/>
      <c r="K158" s="73"/>
      <c r="L158" s="73"/>
      <c r="M158" s="73"/>
      <c r="N158" s="73"/>
      <c r="O158" s="73"/>
      <c r="P158" s="73"/>
      <c r="Q158" s="73"/>
      <c r="R158" s="73"/>
      <c r="S158" s="73"/>
      <c r="T158" s="73"/>
      <c r="U158" s="74"/>
    </row>
    <row r="159" spans="2:21" s="15" customFormat="1" x14ac:dyDescent="0.25">
      <c r="B159" s="72" t="s">
        <v>3176</v>
      </c>
      <c r="C159" s="73"/>
      <c r="D159" s="73"/>
      <c r="E159" s="73"/>
      <c r="F159" s="73"/>
      <c r="G159" s="73"/>
      <c r="H159" s="73"/>
      <c r="I159" s="73"/>
      <c r="J159" s="73"/>
      <c r="K159" s="73"/>
      <c r="L159" s="73"/>
      <c r="M159" s="73"/>
      <c r="N159" s="73"/>
      <c r="O159" s="73"/>
      <c r="P159" s="73"/>
      <c r="Q159" s="73"/>
      <c r="R159" s="73"/>
      <c r="S159" s="73"/>
      <c r="T159" s="73"/>
      <c r="U159" s="74"/>
    </row>
    <row r="160" spans="2:21" s="15" customFormat="1" x14ac:dyDescent="0.25">
      <c r="B160" s="72" t="s">
        <v>3288</v>
      </c>
      <c r="C160" s="73"/>
      <c r="D160" s="73"/>
      <c r="E160" s="73"/>
      <c r="F160" s="73"/>
      <c r="G160" s="73"/>
      <c r="H160" s="73"/>
      <c r="I160" s="73"/>
      <c r="J160" s="73"/>
      <c r="K160" s="73"/>
      <c r="L160" s="73"/>
      <c r="M160" s="73"/>
      <c r="N160" s="73"/>
      <c r="O160" s="73"/>
      <c r="P160" s="73"/>
      <c r="Q160" s="73"/>
      <c r="R160" s="73"/>
      <c r="S160" s="73"/>
      <c r="T160" s="73"/>
      <c r="U160" s="74"/>
    </row>
    <row r="161" spans="2:21" s="15" customFormat="1" x14ac:dyDescent="0.25">
      <c r="B161" s="72" t="s">
        <v>3289</v>
      </c>
      <c r="C161" s="73"/>
      <c r="D161" s="73"/>
      <c r="E161" s="73"/>
      <c r="F161" s="73"/>
      <c r="G161" s="73"/>
      <c r="H161" s="73"/>
      <c r="I161" s="73"/>
      <c r="J161" s="73"/>
      <c r="K161" s="73"/>
      <c r="L161" s="73"/>
      <c r="M161" s="73"/>
      <c r="N161" s="73"/>
      <c r="O161" s="73"/>
      <c r="P161" s="73"/>
      <c r="Q161" s="73"/>
      <c r="R161" s="73"/>
      <c r="S161" s="73"/>
      <c r="T161" s="73"/>
      <c r="U161" s="74"/>
    </row>
    <row r="162" spans="2:21" s="15" customFormat="1" x14ac:dyDescent="0.25">
      <c r="B162" s="72" t="s">
        <v>3179</v>
      </c>
      <c r="C162" s="73"/>
      <c r="D162" s="73"/>
      <c r="E162" s="73"/>
      <c r="F162" s="73"/>
      <c r="G162" s="73"/>
      <c r="H162" s="73"/>
      <c r="I162" s="73"/>
      <c r="J162" s="73"/>
      <c r="K162" s="73"/>
      <c r="L162" s="73"/>
      <c r="M162" s="73"/>
      <c r="N162" s="73"/>
      <c r="O162" s="73"/>
      <c r="P162" s="73"/>
      <c r="Q162" s="73"/>
      <c r="R162" s="73"/>
      <c r="S162" s="73"/>
      <c r="T162" s="73"/>
      <c r="U162" s="74"/>
    </row>
    <row r="163" spans="2:21" s="15" customFormat="1" x14ac:dyDescent="0.25">
      <c r="B163" s="72" t="s">
        <v>3180</v>
      </c>
      <c r="C163" s="73"/>
      <c r="D163" s="73"/>
      <c r="E163" s="73"/>
      <c r="F163" s="73"/>
      <c r="G163" s="73"/>
      <c r="H163" s="73"/>
      <c r="I163" s="73"/>
      <c r="J163" s="73"/>
      <c r="K163" s="73"/>
      <c r="L163" s="73"/>
      <c r="M163" s="73"/>
      <c r="N163" s="73"/>
      <c r="O163" s="73"/>
      <c r="P163" s="73"/>
      <c r="Q163" s="73"/>
      <c r="R163" s="73"/>
      <c r="S163" s="73"/>
      <c r="T163" s="73"/>
      <c r="U163" s="74"/>
    </row>
    <row r="164" spans="2:21" s="15" customFormat="1" x14ac:dyDescent="0.25">
      <c r="B164" s="72" t="s">
        <v>3083</v>
      </c>
      <c r="C164" s="73"/>
      <c r="D164" s="73"/>
      <c r="E164" s="73"/>
      <c r="F164" s="73"/>
      <c r="G164" s="73"/>
      <c r="H164" s="73"/>
      <c r="I164" s="73"/>
      <c r="J164" s="73"/>
      <c r="K164" s="73"/>
      <c r="L164" s="73"/>
      <c r="M164" s="73"/>
      <c r="N164" s="73"/>
      <c r="O164" s="73"/>
      <c r="P164" s="73"/>
      <c r="Q164" s="73"/>
      <c r="R164" s="73"/>
      <c r="S164" s="73"/>
      <c r="T164" s="73"/>
      <c r="U164" s="74"/>
    </row>
    <row r="165" spans="2:21" s="15" customFormat="1" x14ac:dyDescent="0.25">
      <c r="B165" s="72" t="s">
        <v>3093</v>
      </c>
      <c r="C165" s="73"/>
      <c r="D165" s="73"/>
      <c r="E165" s="73"/>
      <c r="F165" s="73"/>
      <c r="G165" s="73"/>
      <c r="H165" s="73"/>
      <c r="I165" s="73"/>
      <c r="J165" s="73"/>
      <c r="K165" s="73"/>
      <c r="L165" s="73"/>
      <c r="M165" s="73"/>
      <c r="N165" s="73"/>
      <c r="O165" s="73"/>
      <c r="P165" s="73"/>
      <c r="Q165" s="73"/>
      <c r="R165" s="73"/>
      <c r="S165" s="73"/>
      <c r="T165" s="73"/>
      <c r="U165" s="74"/>
    </row>
    <row r="166" spans="2:21" s="15" customFormat="1" x14ac:dyDescent="0.25">
      <c r="B166" s="72" t="s">
        <v>3195</v>
      </c>
      <c r="C166" s="73"/>
      <c r="D166" s="73"/>
      <c r="E166" s="73"/>
      <c r="F166" s="73"/>
      <c r="G166" s="73"/>
      <c r="H166" s="73"/>
      <c r="I166" s="73"/>
      <c r="J166" s="73"/>
      <c r="K166" s="73"/>
      <c r="L166" s="73"/>
      <c r="M166" s="73"/>
      <c r="N166" s="73"/>
      <c r="O166" s="73"/>
      <c r="P166" s="73"/>
      <c r="Q166" s="73"/>
      <c r="R166" s="73"/>
      <c r="S166" s="73"/>
      <c r="T166" s="73"/>
      <c r="U166" s="74"/>
    </row>
    <row r="167" spans="2:21" s="15" customFormat="1" x14ac:dyDescent="0.25">
      <c r="B167" s="72" t="s">
        <v>3085</v>
      </c>
      <c r="C167" s="73"/>
      <c r="D167" s="73"/>
      <c r="E167" s="73"/>
      <c r="F167" s="73"/>
      <c r="G167" s="73"/>
      <c r="H167" s="73"/>
      <c r="I167" s="73"/>
      <c r="J167" s="73"/>
      <c r="K167" s="73"/>
      <c r="L167" s="73"/>
      <c r="M167" s="73"/>
      <c r="N167" s="73"/>
      <c r="O167" s="73"/>
      <c r="P167" s="73"/>
      <c r="Q167" s="73"/>
      <c r="R167" s="73"/>
      <c r="S167" s="73"/>
      <c r="T167" s="73"/>
      <c r="U167" s="74"/>
    </row>
    <row r="168" spans="2:21" s="15" customFormat="1" x14ac:dyDescent="0.25">
      <c r="B168" s="72" t="s">
        <v>3532</v>
      </c>
      <c r="C168" s="73"/>
      <c r="D168" s="73"/>
      <c r="E168" s="73"/>
      <c r="F168" s="73"/>
      <c r="G168" s="73"/>
      <c r="H168" s="73"/>
      <c r="I168" s="73"/>
      <c r="J168" s="73"/>
      <c r="K168" s="73"/>
      <c r="L168" s="73"/>
      <c r="M168" s="73"/>
      <c r="N168" s="73"/>
      <c r="O168" s="73"/>
      <c r="P168" s="73"/>
      <c r="Q168" s="73"/>
      <c r="R168" s="73"/>
      <c r="S168" s="73"/>
      <c r="T168" s="73"/>
      <c r="U168" s="74"/>
    </row>
    <row r="169" spans="2:21" s="15" customFormat="1" x14ac:dyDescent="0.25">
      <c r="B169" s="72" t="s">
        <v>3533</v>
      </c>
      <c r="C169" s="73"/>
      <c r="D169" s="73"/>
      <c r="E169" s="73"/>
      <c r="F169" s="73"/>
      <c r="G169" s="73"/>
      <c r="H169" s="73"/>
      <c r="I169" s="73"/>
      <c r="J169" s="73"/>
      <c r="K169" s="73"/>
      <c r="L169" s="73"/>
      <c r="M169" s="73"/>
      <c r="N169" s="73"/>
      <c r="O169" s="73"/>
      <c r="P169" s="73"/>
      <c r="Q169" s="73"/>
      <c r="R169" s="73"/>
      <c r="S169" s="73"/>
      <c r="T169" s="73"/>
      <c r="U169" s="74"/>
    </row>
    <row r="170" spans="2:21" s="15" customFormat="1" x14ac:dyDescent="0.25">
      <c r="B170" s="72" t="s">
        <v>3306</v>
      </c>
      <c r="C170" s="73"/>
      <c r="D170" s="73"/>
      <c r="E170" s="73"/>
      <c r="F170" s="73"/>
      <c r="G170" s="73"/>
      <c r="H170" s="73"/>
      <c r="I170" s="73"/>
      <c r="J170" s="73"/>
      <c r="K170" s="73"/>
      <c r="L170" s="73"/>
      <c r="M170" s="73"/>
      <c r="N170" s="73"/>
      <c r="O170" s="73"/>
      <c r="P170" s="73"/>
      <c r="Q170" s="73"/>
      <c r="R170" s="73"/>
      <c r="S170" s="73"/>
      <c r="T170" s="73"/>
      <c r="U170" s="74"/>
    </row>
    <row r="171" spans="2:21" s="15" customFormat="1" x14ac:dyDescent="0.25">
      <c r="B171" s="72" t="s">
        <v>3404</v>
      </c>
      <c r="C171" s="73"/>
      <c r="D171" s="73"/>
      <c r="E171" s="73"/>
      <c r="F171" s="73"/>
      <c r="G171" s="73"/>
      <c r="H171" s="73"/>
      <c r="I171" s="73"/>
      <c r="J171" s="73"/>
      <c r="K171" s="73"/>
      <c r="L171" s="73"/>
      <c r="M171" s="73"/>
      <c r="N171" s="73"/>
      <c r="O171" s="73"/>
      <c r="P171" s="73"/>
      <c r="Q171" s="73"/>
      <c r="R171" s="73"/>
      <c r="S171" s="73"/>
      <c r="T171" s="73"/>
      <c r="U171" s="74"/>
    </row>
    <row r="172" spans="2:21" s="15" customFormat="1" x14ac:dyDescent="0.25">
      <c r="B172" s="72" t="s">
        <v>3181</v>
      </c>
      <c r="C172" s="73"/>
      <c r="D172" s="73"/>
      <c r="E172" s="73"/>
      <c r="F172" s="73"/>
      <c r="G172" s="73"/>
      <c r="H172" s="73"/>
      <c r="I172" s="73"/>
      <c r="J172" s="73"/>
      <c r="K172" s="73"/>
      <c r="L172" s="73"/>
      <c r="M172" s="73"/>
      <c r="N172" s="73"/>
      <c r="O172" s="73"/>
      <c r="P172" s="73"/>
      <c r="Q172" s="73"/>
      <c r="R172" s="73"/>
      <c r="S172" s="73"/>
      <c r="T172" s="73"/>
      <c r="U172" s="74"/>
    </row>
    <row r="173" spans="2:21" s="15" customFormat="1" x14ac:dyDescent="0.25">
      <c r="B173" s="72" t="s">
        <v>3085</v>
      </c>
      <c r="C173" s="73"/>
      <c r="D173" s="73"/>
      <c r="E173" s="73"/>
      <c r="F173" s="73"/>
      <c r="G173" s="73"/>
      <c r="H173" s="73"/>
      <c r="I173" s="73"/>
      <c r="J173" s="73"/>
      <c r="K173" s="73"/>
      <c r="L173" s="73"/>
      <c r="M173" s="73"/>
      <c r="N173" s="73"/>
      <c r="O173" s="73"/>
      <c r="P173" s="73"/>
      <c r="Q173" s="73"/>
      <c r="R173" s="73"/>
      <c r="S173" s="73"/>
      <c r="T173" s="73"/>
      <c r="U173" s="74"/>
    </row>
    <row r="174" spans="2:21" s="15" customFormat="1" x14ac:dyDescent="0.25">
      <c r="B174" s="72" t="s">
        <v>3532</v>
      </c>
      <c r="C174" s="73"/>
      <c r="D174" s="73"/>
      <c r="E174" s="73"/>
      <c r="F174" s="73"/>
      <c r="G174" s="73"/>
      <c r="H174" s="73"/>
      <c r="I174" s="73"/>
      <c r="J174" s="73"/>
      <c r="K174" s="73"/>
      <c r="L174" s="73"/>
      <c r="M174" s="73"/>
      <c r="N174" s="73"/>
      <c r="O174" s="73"/>
      <c r="P174" s="73"/>
      <c r="Q174" s="73"/>
      <c r="R174" s="73"/>
      <c r="S174" s="73"/>
      <c r="T174" s="73"/>
      <c r="U174" s="74"/>
    </row>
    <row r="175" spans="2:21" s="15" customFormat="1" x14ac:dyDescent="0.25">
      <c r="B175" s="72" t="s">
        <v>3534</v>
      </c>
      <c r="C175" s="73"/>
      <c r="D175" s="73"/>
      <c r="E175" s="73"/>
      <c r="F175" s="73"/>
      <c r="G175" s="73"/>
      <c r="H175" s="73"/>
      <c r="I175" s="73"/>
      <c r="J175" s="73"/>
      <c r="K175" s="73"/>
      <c r="L175" s="73"/>
      <c r="M175" s="73"/>
      <c r="N175" s="73"/>
      <c r="O175" s="73"/>
      <c r="P175" s="73"/>
      <c r="Q175" s="73"/>
      <c r="R175" s="73"/>
      <c r="S175" s="73"/>
      <c r="T175" s="73"/>
      <c r="U175" s="74"/>
    </row>
    <row r="176" spans="2:21" s="15" customFormat="1" x14ac:dyDescent="0.25">
      <c r="B176" s="72" t="s">
        <v>3312</v>
      </c>
      <c r="C176" s="73"/>
      <c r="D176" s="73"/>
      <c r="E176" s="73"/>
      <c r="F176" s="73"/>
      <c r="G176" s="73"/>
      <c r="H176" s="73"/>
      <c r="I176" s="73"/>
      <c r="J176" s="73"/>
      <c r="K176" s="73"/>
      <c r="L176" s="73"/>
      <c r="M176" s="73"/>
      <c r="N176" s="73"/>
      <c r="O176" s="73"/>
      <c r="P176" s="73"/>
      <c r="Q176" s="73"/>
      <c r="R176" s="73"/>
      <c r="S176" s="73"/>
      <c r="T176" s="73"/>
      <c r="U176" s="74"/>
    </row>
    <row r="177" spans="2:21" s="15" customFormat="1" x14ac:dyDescent="0.25">
      <c r="B177" s="72" t="s">
        <v>3313</v>
      </c>
      <c r="C177" s="73"/>
      <c r="D177" s="73"/>
      <c r="E177" s="73"/>
      <c r="F177" s="73"/>
      <c r="G177" s="73"/>
      <c r="H177" s="73"/>
      <c r="I177" s="73"/>
      <c r="J177" s="73"/>
      <c r="K177" s="73"/>
      <c r="L177" s="73"/>
      <c r="M177" s="73"/>
      <c r="N177" s="73"/>
      <c r="O177" s="73"/>
      <c r="P177" s="73"/>
      <c r="Q177" s="73"/>
      <c r="R177" s="73"/>
      <c r="S177" s="73"/>
      <c r="T177" s="73"/>
      <c r="U177" s="74"/>
    </row>
    <row r="178" spans="2:21" s="15" customFormat="1" x14ac:dyDescent="0.25">
      <c r="B178" s="72" t="s">
        <v>3083</v>
      </c>
      <c r="C178" s="73"/>
      <c r="D178" s="73"/>
      <c r="E178" s="73"/>
      <c r="F178" s="73"/>
      <c r="G178" s="73"/>
      <c r="H178" s="73"/>
      <c r="I178" s="73"/>
      <c r="J178" s="73"/>
      <c r="K178" s="73"/>
      <c r="L178" s="73"/>
      <c r="M178" s="73"/>
      <c r="N178" s="73"/>
      <c r="O178" s="73"/>
      <c r="P178" s="73"/>
      <c r="Q178" s="73"/>
      <c r="R178" s="73"/>
      <c r="S178" s="73"/>
      <c r="T178" s="73"/>
      <c r="U178" s="74"/>
    </row>
    <row r="179" spans="2:21" s="15" customFormat="1" x14ac:dyDescent="0.25">
      <c r="B179" s="72" t="s">
        <v>3093</v>
      </c>
      <c r="C179" s="73"/>
      <c r="D179" s="73"/>
      <c r="E179" s="73"/>
      <c r="F179" s="73"/>
      <c r="G179" s="73"/>
      <c r="H179" s="73"/>
      <c r="I179" s="73"/>
      <c r="J179" s="73"/>
      <c r="K179" s="73"/>
      <c r="L179" s="73"/>
      <c r="M179" s="73"/>
      <c r="N179" s="73"/>
      <c r="O179" s="73"/>
      <c r="P179" s="73"/>
      <c r="Q179" s="73"/>
      <c r="R179" s="73"/>
      <c r="S179" s="73"/>
      <c r="T179" s="73"/>
      <c r="U179" s="74"/>
    </row>
    <row r="180" spans="2:21" s="15" customFormat="1" x14ac:dyDescent="0.25">
      <c r="B180" s="72" t="s">
        <v>3199</v>
      </c>
      <c r="C180" s="73"/>
      <c r="D180" s="73"/>
      <c r="E180" s="73"/>
      <c r="F180" s="73"/>
      <c r="G180" s="73"/>
      <c r="H180" s="73"/>
      <c r="I180" s="73"/>
      <c r="J180" s="73"/>
      <c r="K180" s="73"/>
      <c r="L180" s="73"/>
      <c r="M180" s="73"/>
      <c r="N180" s="73"/>
      <c r="O180" s="73"/>
      <c r="P180" s="73"/>
      <c r="Q180" s="73"/>
      <c r="R180" s="73"/>
      <c r="S180" s="73"/>
      <c r="T180" s="73"/>
      <c r="U180" s="74"/>
    </row>
    <row r="181" spans="2:21" s="15" customFormat="1" x14ac:dyDescent="0.25">
      <c r="B181" s="72" t="s">
        <v>3085</v>
      </c>
      <c r="C181" s="73"/>
      <c r="D181" s="73"/>
      <c r="E181" s="73"/>
      <c r="F181" s="73"/>
      <c r="G181" s="73"/>
      <c r="H181" s="73"/>
      <c r="I181" s="73"/>
      <c r="J181" s="73"/>
      <c r="K181" s="73"/>
      <c r="L181" s="73"/>
      <c r="M181" s="73"/>
      <c r="N181" s="73"/>
      <c r="O181" s="73"/>
      <c r="P181" s="73"/>
      <c r="Q181" s="73"/>
      <c r="R181" s="73"/>
      <c r="S181" s="73"/>
      <c r="T181" s="73"/>
      <c r="U181" s="74"/>
    </row>
    <row r="182" spans="2:21" s="15" customFormat="1" x14ac:dyDescent="0.25">
      <c r="B182" s="72" t="s">
        <v>3200</v>
      </c>
      <c r="C182" s="73"/>
      <c r="D182" s="73"/>
      <c r="E182" s="73"/>
      <c r="F182" s="73"/>
      <c r="G182" s="73"/>
      <c r="H182" s="73"/>
      <c r="I182" s="73"/>
      <c r="J182" s="73"/>
      <c r="K182" s="73"/>
      <c r="L182" s="73"/>
      <c r="M182" s="73"/>
      <c r="N182" s="73"/>
      <c r="O182" s="73"/>
      <c r="P182" s="73"/>
      <c r="Q182" s="73"/>
      <c r="R182" s="73"/>
      <c r="S182" s="73"/>
      <c r="T182" s="73"/>
      <c r="U182" s="74"/>
    </row>
    <row r="183" spans="2:21" s="15" customFormat="1" x14ac:dyDescent="0.25">
      <c r="B183" s="72" t="s">
        <v>3535</v>
      </c>
      <c r="C183" s="73"/>
      <c r="D183" s="73"/>
      <c r="E183" s="73"/>
      <c r="F183" s="73"/>
      <c r="G183" s="73"/>
      <c r="H183" s="73"/>
      <c r="I183" s="73"/>
      <c r="J183" s="73"/>
      <c r="K183" s="73"/>
      <c r="L183" s="73"/>
      <c r="M183" s="73"/>
      <c r="N183" s="73"/>
      <c r="O183" s="73"/>
      <c r="P183" s="73"/>
      <c r="Q183" s="73"/>
      <c r="R183" s="73"/>
      <c r="S183" s="73"/>
      <c r="T183" s="73"/>
      <c r="U183" s="74"/>
    </row>
    <row r="184" spans="2:21" s="15" customFormat="1" x14ac:dyDescent="0.25">
      <c r="B184" s="72" t="s">
        <v>3083</v>
      </c>
      <c r="C184" s="73"/>
      <c r="D184" s="73"/>
      <c r="E184" s="73"/>
      <c r="F184" s="73"/>
      <c r="G184" s="73"/>
      <c r="H184" s="73"/>
      <c r="I184" s="73"/>
      <c r="J184" s="73"/>
      <c r="K184" s="73"/>
      <c r="L184" s="73"/>
      <c r="M184" s="73"/>
      <c r="N184" s="73"/>
      <c r="O184" s="73"/>
      <c r="P184" s="73"/>
      <c r="Q184" s="73"/>
      <c r="R184" s="73"/>
      <c r="S184" s="73"/>
      <c r="T184" s="73"/>
      <c r="U184" s="74"/>
    </row>
    <row r="185" spans="2:21" s="15" customFormat="1" x14ac:dyDescent="0.25">
      <c r="B185" s="72" t="s">
        <v>3093</v>
      </c>
      <c r="C185" s="73"/>
      <c r="D185" s="73"/>
      <c r="E185" s="73"/>
      <c r="F185" s="73"/>
      <c r="G185" s="73"/>
      <c r="H185" s="73"/>
      <c r="I185" s="73"/>
      <c r="J185" s="73"/>
      <c r="K185" s="73"/>
      <c r="L185" s="73"/>
      <c r="M185" s="73"/>
      <c r="N185" s="73"/>
      <c r="O185" s="73"/>
      <c r="P185" s="73"/>
      <c r="Q185" s="73"/>
      <c r="R185" s="73"/>
      <c r="S185" s="73"/>
      <c r="T185" s="73"/>
      <c r="U185" s="74"/>
    </row>
    <row r="186" spans="2:21" s="15" customFormat="1" x14ac:dyDescent="0.25">
      <c r="B186" s="72" t="s">
        <v>3536</v>
      </c>
      <c r="C186" s="73"/>
      <c r="D186" s="73"/>
      <c r="E186" s="73"/>
      <c r="F186" s="73"/>
      <c r="G186" s="73"/>
      <c r="H186" s="73"/>
      <c r="I186" s="73"/>
      <c r="J186" s="73"/>
      <c r="K186" s="73"/>
      <c r="L186" s="73"/>
      <c r="M186" s="73"/>
      <c r="N186" s="73"/>
      <c r="O186" s="73"/>
      <c r="P186" s="73"/>
      <c r="Q186" s="73"/>
      <c r="R186" s="73"/>
      <c r="S186" s="73"/>
      <c r="T186" s="73"/>
      <c r="U186" s="74"/>
    </row>
    <row r="187" spans="2:21" s="15" customFormat="1" x14ac:dyDescent="0.25">
      <c r="B187" s="72" t="s">
        <v>3085</v>
      </c>
      <c r="C187" s="73"/>
      <c r="D187" s="73"/>
      <c r="E187" s="73"/>
      <c r="F187" s="73"/>
      <c r="G187" s="73"/>
      <c r="H187" s="73"/>
      <c r="I187" s="73"/>
      <c r="J187" s="73"/>
      <c r="K187" s="73"/>
      <c r="L187" s="73"/>
      <c r="M187" s="73"/>
      <c r="N187" s="73"/>
      <c r="O187" s="73"/>
      <c r="P187" s="73"/>
      <c r="Q187" s="73"/>
      <c r="R187" s="73"/>
      <c r="S187" s="73"/>
      <c r="T187" s="73"/>
      <c r="U187" s="74"/>
    </row>
    <row r="188" spans="2:21" s="15" customFormat="1" x14ac:dyDescent="0.25">
      <c r="B188" s="72" t="s">
        <v>3537</v>
      </c>
      <c r="C188" s="73"/>
      <c r="D188" s="73"/>
      <c r="E188" s="73"/>
      <c r="F188" s="73"/>
      <c r="G188" s="73"/>
      <c r="H188" s="73"/>
      <c r="I188" s="73"/>
      <c r="J188" s="73"/>
      <c r="K188" s="73"/>
      <c r="L188" s="73"/>
      <c r="M188" s="73"/>
      <c r="N188" s="73"/>
      <c r="O188" s="73"/>
      <c r="P188" s="73"/>
      <c r="Q188" s="73"/>
      <c r="R188" s="73"/>
      <c r="S188" s="73"/>
      <c r="T188" s="73"/>
      <c r="U188" s="74"/>
    </row>
    <row r="189" spans="2:21" s="15" customFormat="1" x14ac:dyDescent="0.25">
      <c r="B189" s="72" t="s">
        <v>3538</v>
      </c>
      <c r="C189" s="73"/>
      <c r="D189" s="73"/>
      <c r="E189" s="73"/>
      <c r="F189" s="73"/>
      <c r="G189" s="73"/>
      <c r="H189" s="73"/>
      <c r="I189" s="73"/>
      <c r="J189" s="73"/>
      <c r="K189" s="73"/>
      <c r="L189" s="73"/>
      <c r="M189" s="73"/>
      <c r="N189" s="73"/>
      <c r="O189" s="73"/>
      <c r="P189" s="73"/>
      <c r="Q189" s="73"/>
      <c r="R189" s="73"/>
      <c r="S189" s="73"/>
      <c r="T189" s="73"/>
      <c r="U189" s="74"/>
    </row>
    <row r="190" spans="2:21" s="15" customFormat="1" x14ac:dyDescent="0.25">
      <c r="B190" s="72" t="s">
        <v>3539</v>
      </c>
      <c r="C190" s="73"/>
      <c r="D190" s="73"/>
      <c r="E190" s="73"/>
      <c r="F190" s="73"/>
      <c r="G190" s="73"/>
      <c r="H190" s="73"/>
      <c r="I190" s="73"/>
      <c r="J190" s="73"/>
      <c r="K190" s="73"/>
      <c r="L190" s="73"/>
      <c r="M190" s="73"/>
      <c r="N190" s="73"/>
      <c r="O190" s="73"/>
      <c r="P190" s="73"/>
      <c r="Q190" s="73"/>
      <c r="R190" s="73"/>
      <c r="S190" s="73"/>
      <c r="T190" s="73"/>
      <c r="U190" s="74"/>
    </row>
    <row r="191" spans="2:21" s="15" customFormat="1" x14ac:dyDescent="0.25">
      <c r="B191" s="72" t="s">
        <v>3540</v>
      </c>
      <c r="C191" s="73"/>
      <c r="D191" s="73"/>
      <c r="E191" s="73"/>
      <c r="F191" s="73"/>
      <c r="G191" s="73"/>
      <c r="H191" s="73"/>
      <c r="I191" s="73"/>
      <c r="J191" s="73"/>
      <c r="K191" s="73"/>
      <c r="L191" s="73"/>
      <c r="M191" s="73"/>
      <c r="N191" s="73"/>
      <c r="O191" s="73"/>
      <c r="P191" s="73"/>
      <c r="Q191" s="73"/>
      <c r="R191" s="73"/>
      <c r="S191" s="73"/>
      <c r="T191" s="73"/>
      <c r="U191" s="74"/>
    </row>
    <row r="192" spans="2:21" s="15" customFormat="1" x14ac:dyDescent="0.25">
      <c r="B192" s="72" t="s">
        <v>3541</v>
      </c>
      <c r="C192" s="73"/>
      <c r="D192" s="73"/>
      <c r="E192" s="73"/>
      <c r="F192" s="73"/>
      <c r="G192" s="73"/>
      <c r="H192" s="73"/>
      <c r="I192" s="73"/>
      <c r="J192" s="73"/>
      <c r="K192" s="73"/>
      <c r="L192" s="73"/>
      <c r="M192" s="73"/>
      <c r="N192" s="73"/>
      <c r="O192" s="73"/>
      <c r="P192" s="73"/>
      <c r="Q192" s="73"/>
      <c r="R192" s="73"/>
      <c r="S192" s="73"/>
      <c r="T192" s="73"/>
      <c r="U192" s="74"/>
    </row>
    <row r="193" spans="2:21" s="15" customFormat="1" x14ac:dyDescent="0.25">
      <c r="B193" s="72" t="s">
        <v>3542</v>
      </c>
      <c r="C193" s="73"/>
      <c r="D193" s="73"/>
      <c r="E193" s="73"/>
      <c r="F193" s="73"/>
      <c r="G193" s="73"/>
      <c r="H193" s="73"/>
      <c r="I193" s="73"/>
      <c r="J193" s="73"/>
      <c r="K193" s="73"/>
      <c r="L193" s="73"/>
      <c r="M193" s="73"/>
      <c r="N193" s="73"/>
      <c r="O193" s="73"/>
      <c r="P193" s="73"/>
      <c r="Q193" s="73"/>
      <c r="R193" s="73"/>
      <c r="S193" s="73"/>
      <c r="T193" s="73"/>
      <c r="U193" s="74"/>
    </row>
    <row r="194" spans="2:21" s="15" customFormat="1" x14ac:dyDescent="0.25">
      <c r="B194" s="72" t="s">
        <v>3543</v>
      </c>
      <c r="C194" s="73"/>
      <c r="D194" s="73"/>
      <c r="E194" s="73"/>
      <c r="F194" s="73"/>
      <c r="G194" s="73"/>
      <c r="H194" s="73"/>
      <c r="I194" s="73"/>
      <c r="J194" s="73"/>
      <c r="K194" s="73"/>
      <c r="L194" s="73"/>
      <c r="M194" s="73"/>
      <c r="N194" s="73"/>
      <c r="O194" s="73"/>
      <c r="P194" s="73"/>
      <c r="Q194" s="73"/>
      <c r="R194" s="73"/>
      <c r="S194" s="73"/>
      <c r="T194" s="73"/>
      <c r="U194" s="74"/>
    </row>
    <row r="195" spans="2:21" s="15" customFormat="1" x14ac:dyDescent="0.25">
      <c r="B195" s="72" t="s">
        <v>3146</v>
      </c>
      <c r="C195" s="73"/>
      <c r="D195" s="73"/>
      <c r="E195" s="73"/>
      <c r="F195" s="73"/>
      <c r="G195" s="73"/>
      <c r="H195" s="73"/>
      <c r="I195" s="73"/>
      <c r="J195" s="73"/>
      <c r="K195" s="73"/>
      <c r="L195" s="73"/>
      <c r="M195" s="73"/>
      <c r="N195" s="73"/>
      <c r="O195" s="73"/>
      <c r="P195" s="73"/>
      <c r="Q195" s="73"/>
      <c r="R195" s="73"/>
      <c r="S195" s="73"/>
      <c r="T195" s="73"/>
      <c r="U195" s="74"/>
    </row>
    <row r="196" spans="2:21" s="15" customFormat="1" x14ac:dyDescent="0.25">
      <c r="B196" s="72" t="s">
        <v>3544</v>
      </c>
      <c r="C196" s="73"/>
      <c r="D196" s="73"/>
      <c r="E196" s="73"/>
      <c r="F196" s="73"/>
      <c r="G196" s="73"/>
      <c r="H196" s="73"/>
      <c r="I196" s="73"/>
      <c r="J196" s="73"/>
      <c r="K196" s="73"/>
      <c r="L196" s="73"/>
      <c r="M196" s="73"/>
      <c r="N196" s="73"/>
      <c r="O196" s="73"/>
      <c r="P196" s="73"/>
      <c r="Q196" s="73"/>
      <c r="R196" s="73"/>
      <c r="S196" s="73"/>
      <c r="T196" s="73"/>
      <c r="U196" s="74"/>
    </row>
    <row r="197" spans="2:21" s="15" customFormat="1" x14ac:dyDescent="0.25">
      <c r="B197" s="72" t="s">
        <v>3545</v>
      </c>
      <c r="C197" s="73"/>
      <c r="D197" s="73"/>
      <c r="E197" s="73"/>
      <c r="F197" s="73"/>
      <c r="G197" s="73"/>
      <c r="H197" s="73"/>
      <c r="I197" s="73"/>
      <c r="J197" s="73"/>
      <c r="K197" s="73"/>
      <c r="L197" s="73"/>
      <c r="M197" s="73"/>
      <c r="N197" s="73"/>
      <c r="O197" s="73"/>
      <c r="P197" s="73"/>
      <c r="Q197" s="73"/>
      <c r="R197" s="73"/>
      <c r="S197" s="73"/>
      <c r="T197" s="73"/>
      <c r="U197" s="74"/>
    </row>
    <row r="198" spans="2:21" s="15" customFormat="1" x14ac:dyDescent="0.25">
      <c r="B198" s="72" t="s">
        <v>3546</v>
      </c>
      <c r="C198" s="73"/>
      <c r="D198" s="73"/>
      <c r="E198" s="73"/>
      <c r="F198" s="73"/>
      <c r="G198" s="73"/>
      <c r="H198" s="73"/>
      <c r="I198" s="73"/>
      <c r="J198" s="73"/>
      <c r="K198" s="73"/>
      <c r="L198" s="73"/>
      <c r="M198" s="73"/>
      <c r="N198" s="73"/>
      <c r="O198" s="73"/>
      <c r="P198" s="73"/>
      <c r="Q198" s="73"/>
      <c r="R198" s="73"/>
      <c r="S198" s="73"/>
      <c r="T198" s="73"/>
      <c r="U198" s="74"/>
    </row>
    <row r="199" spans="2:21" s="15" customFormat="1" x14ac:dyDescent="0.25">
      <c r="B199" s="72" t="s">
        <v>3547</v>
      </c>
      <c r="C199" s="73"/>
      <c r="D199" s="73"/>
      <c r="E199" s="73"/>
      <c r="F199" s="73"/>
      <c r="G199" s="73"/>
      <c r="H199" s="73"/>
      <c r="I199" s="73"/>
      <c r="J199" s="73"/>
      <c r="K199" s="73"/>
      <c r="L199" s="73"/>
      <c r="M199" s="73"/>
      <c r="N199" s="73"/>
      <c r="O199" s="73"/>
      <c r="P199" s="73"/>
      <c r="Q199" s="73"/>
      <c r="R199" s="73"/>
      <c r="S199" s="73"/>
      <c r="T199" s="73"/>
      <c r="U199" s="74"/>
    </row>
    <row r="200" spans="2:21" s="15" customFormat="1" x14ac:dyDescent="0.25">
      <c r="B200" s="72" t="s">
        <v>3548</v>
      </c>
      <c r="C200" s="73"/>
      <c r="D200" s="73"/>
      <c r="E200" s="73"/>
      <c r="F200" s="73"/>
      <c r="G200" s="73"/>
      <c r="H200" s="73"/>
      <c r="I200" s="73"/>
      <c r="J200" s="73"/>
      <c r="K200" s="73"/>
      <c r="L200" s="73"/>
      <c r="M200" s="73"/>
      <c r="N200" s="73"/>
      <c r="O200" s="73"/>
      <c r="P200" s="73"/>
      <c r="Q200" s="73"/>
      <c r="R200" s="73"/>
      <c r="S200" s="73"/>
      <c r="T200" s="73"/>
      <c r="U200" s="74"/>
    </row>
    <row r="201" spans="2:21" s="15" customFormat="1" x14ac:dyDescent="0.25">
      <c r="B201" s="72" t="s">
        <v>3549</v>
      </c>
      <c r="C201" s="73"/>
      <c r="D201" s="73"/>
      <c r="E201" s="73"/>
      <c r="F201" s="73"/>
      <c r="G201" s="73"/>
      <c r="H201" s="73"/>
      <c r="I201" s="73"/>
      <c r="J201" s="73"/>
      <c r="K201" s="73"/>
      <c r="L201" s="73"/>
      <c r="M201" s="73"/>
      <c r="N201" s="73"/>
      <c r="O201" s="73"/>
      <c r="P201" s="73"/>
      <c r="Q201" s="73"/>
      <c r="R201" s="73"/>
      <c r="S201" s="73"/>
      <c r="T201" s="73"/>
      <c r="U201" s="74"/>
    </row>
    <row r="202" spans="2:21" s="15" customFormat="1" x14ac:dyDescent="0.25">
      <c r="B202" s="72" t="s">
        <v>3550</v>
      </c>
      <c r="C202" s="73"/>
      <c r="D202" s="73"/>
      <c r="E202" s="73"/>
      <c r="F202" s="73"/>
      <c r="G202" s="73"/>
      <c r="H202" s="73"/>
      <c r="I202" s="73"/>
      <c r="J202" s="73"/>
      <c r="K202" s="73"/>
      <c r="L202" s="73"/>
      <c r="M202" s="73"/>
      <c r="N202" s="73"/>
      <c r="O202" s="73"/>
      <c r="P202" s="73"/>
      <c r="Q202" s="73"/>
      <c r="R202" s="73"/>
      <c r="S202" s="73"/>
      <c r="T202" s="73"/>
      <c r="U202" s="74"/>
    </row>
    <row r="203" spans="2:21" s="15" customFormat="1" x14ac:dyDescent="0.25">
      <c r="B203" s="72" t="s">
        <v>3551</v>
      </c>
      <c r="C203" s="73"/>
      <c r="D203" s="73"/>
      <c r="E203" s="73"/>
      <c r="F203" s="73"/>
      <c r="G203" s="73"/>
      <c r="H203" s="73"/>
      <c r="I203" s="73"/>
      <c r="J203" s="73"/>
      <c r="K203" s="73"/>
      <c r="L203" s="73"/>
      <c r="M203" s="73"/>
      <c r="N203" s="73"/>
      <c r="O203" s="73"/>
      <c r="P203" s="73"/>
      <c r="Q203" s="73"/>
      <c r="R203" s="73"/>
      <c r="S203" s="73"/>
      <c r="T203" s="73"/>
      <c r="U203" s="74"/>
    </row>
    <row r="204" spans="2:21" s="15" customFormat="1" x14ac:dyDescent="0.25">
      <c r="B204" s="72" t="s">
        <v>3552</v>
      </c>
      <c r="C204" s="73"/>
      <c r="D204" s="73"/>
      <c r="E204" s="73"/>
      <c r="F204" s="73"/>
      <c r="G204" s="73"/>
      <c r="H204" s="73"/>
      <c r="I204" s="73"/>
      <c r="J204" s="73"/>
      <c r="K204" s="73"/>
      <c r="L204" s="73"/>
      <c r="M204" s="73"/>
      <c r="N204" s="73"/>
      <c r="O204" s="73"/>
      <c r="P204" s="73"/>
      <c r="Q204" s="73"/>
      <c r="R204" s="73"/>
      <c r="S204" s="73"/>
      <c r="T204" s="73"/>
      <c r="U204" s="74"/>
    </row>
    <row r="205" spans="2:21" s="15" customFormat="1" x14ac:dyDescent="0.25">
      <c r="B205" s="72" t="s">
        <v>3151</v>
      </c>
      <c r="C205" s="73"/>
      <c r="D205" s="73"/>
      <c r="E205" s="73"/>
      <c r="F205" s="73"/>
      <c r="G205" s="73"/>
      <c r="H205" s="73"/>
      <c r="I205" s="73"/>
      <c r="J205" s="73"/>
      <c r="K205" s="73"/>
      <c r="L205" s="73"/>
      <c r="M205" s="73"/>
      <c r="N205" s="73"/>
      <c r="O205" s="73"/>
      <c r="P205" s="73"/>
      <c r="Q205" s="73"/>
      <c r="R205" s="73"/>
      <c r="S205" s="73"/>
      <c r="T205" s="73"/>
      <c r="U205" s="74"/>
    </row>
    <row r="206" spans="2:21" s="15" customFormat="1" x14ac:dyDescent="0.25">
      <c r="B206" s="72" t="s">
        <v>3181</v>
      </c>
      <c r="C206" s="73"/>
      <c r="D206" s="73"/>
      <c r="E206" s="73"/>
      <c r="F206" s="73"/>
      <c r="G206" s="73"/>
      <c r="H206" s="73"/>
      <c r="I206" s="73"/>
      <c r="J206" s="73"/>
      <c r="K206" s="73"/>
      <c r="L206" s="73"/>
      <c r="M206" s="73"/>
      <c r="N206" s="73"/>
      <c r="O206" s="73"/>
      <c r="P206" s="73"/>
      <c r="Q206" s="73"/>
      <c r="R206" s="73"/>
      <c r="S206" s="73"/>
      <c r="T206" s="73"/>
      <c r="U206" s="74"/>
    </row>
    <row r="207" spans="2:21" s="15" customFormat="1" x14ac:dyDescent="0.25">
      <c r="B207" s="72" t="s">
        <v>3085</v>
      </c>
      <c r="C207" s="73"/>
      <c r="D207" s="73"/>
      <c r="E207" s="73"/>
      <c r="F207" s="73"/>
      <c r="G207" s="73"/>
      <c r="H207" s="73"/>
      <c r="I207" s="73"/>
      <c r="J207" s="73"/>
      <c r="K207" s="73"/>
      <c r="L207" s="73"/>
      <c r="M207" s="73"/>
      <c r="N207" s="73"/>
      <c r="O207" s="73"/>
      <c r="P207" s="73"/>
      <c r="Q207" s="73"/>
      <c r="R207" s="73"/>
      <c r="S207" s="73"/>
      <c r="T207" s="73"/>
      <c r="U207" s="74"/>
    </row>
    <row r="208" spans="2:21" s="15" customFormat="1" x14ac:dyDescent="0.25">
      <c r="B208" s="72" t="s">
        <v>3537</v>
      </c>
      <c r="C208" s="73"/>
      <c r="D208" s="73"/>
      <c r="E208" s="73"/>
      <c r="F208" s="73"/>
      <c r="G208" s="73"/>
      <c r="H208" s="73"/>
      <c r="I208" s="73"/>
      <c r="J208" s="73"/>
      <c r="K208" s="73"/>
      <c r="L208" s="73"/>
      <c r="M208" s="73"/>
      <c r="N208" s="73"/>
      <c r="O208" s="73"/>
      <c r="P208" s="73"/>
      <c r="Q208" s="73"/>
      <c r="R208" s="73"/>
      <c r="S208" s="73"/>
      <c r="T208" s="73"/>
      <c r="U208" s="74"/>
    </row>
    <row r="209" spans="2:21" s="15" customFormat="1" x14ac:dyDescent="0.25">
      <c r="B209" s="72" t="s">
        <v>3553</v>
      </c>
      <c r="C209" s="73"/>
      <c r="D209" s="73"/>
      <c r="E209" s="73"/>
      <c r="F209" s="73"/>
      <c r="G209" s="73"/>
      <c r="H209" s="73"/>
      <c r="I209" s="73"/>
      <c r="J209" s="73"/>
      <c r="K209" s="73"/>
      <c r="L209" s="73"/>
      <c r="M209" s="73"/>
      <c r="N209" s="73"/>
      <c r="O209" s="73"/>
      <c r="P209" s="73"/>
      <c r="Q209" s="73"/>
      <c r="R209" s="73"/>
      <c r="S209" s="73"/>
      <c r="T209" s="73"/>
      <c r="U209" s="74"/>
    </row>
    <row r="210" spans="2:21" s="15" customFormat="1" x14ac:dyDescent="0.25">
      <c r="B210" s="72" t="s">
        <v>3539</v>
      </c>
      <c r="C210" s="73"/>
      <c r="D210" s="73"/>
      <c r="E210" s="73"/>
      <c r="F210" s="73"/>
      <c r="G210" s="73"/>
      <c r="H210" s="73"/>
      <c r="I210" s="73"/>
      <c r="J210" s="73"/>
      <c r="K210" s="73"/>
      <c r="L210" s="73"/>
      <c r="M210" s="73"/>
      <c r="N210" s="73"/>
      <c r="O210" s="73"/>
      <c r="P210" s="73"/>
      <c r="Q210" s="73"/>
      <c r="R210" s="73"/>
      <c r="S210" s="73"/>
      <c r="T210" s="73"/>
      <c r="U210" s="74"/>
    </row>
    <row r="211" spans="2:21" s="15" customFormat="1" x14ac:dyDescent="0.25">
      <c r="B211" s="72" t="s">
        <v>3540</v>
      </c>
      <c r="C211" s="73"/>
      <c r="D211" s="73"/>
      <c r="E211" s="73"/>
      <c r="F211" s="73"/>
      <c r="G211" s="73"/>
      <c r="H211" s="73"/>
      <c r="I211" s="73"/>
      <c r="J211" s="73"/>
      <c r="K211" s="73"/>
      <c r="L211" s="73"/>
      <c r="M211" s="73"/>
      <c r="N211" s="73"/>
      <c r="O211" s="73"/>
      <c r="P211" s="73"/>
      <c r="Q211" s="73"/>
      <c r="R211" s="73"/>
      <c r="S211" s="73"/>
      <c r="T211" s="73"/>
      <c r="U211" s="74"/>
    </row>
    <row r="212" spans="2:21" s="15" customFormat="1" x14ac:dyDescent="0.25">
      <c r="B212" s="72" t="s">
        <v>3541</v>
      </c>
      <c r="C212" s="73"/>
      <c r="D212" s="73"/>
      <c r="E212" s="73"/>
      <c r="F212" s="73"/>
      <c r="G212" s="73"/>
      <c r="H212" s="73"/>
      <c r="I212" s="73"/>
      <c r="J212" s="73"/>
      <c r="K212" s="73"/>
      <c r="L212" s="73"/>
      <c r="M212" s="73"/>
      <c r="N212" s="73"/>
      <c r="O212" s="73"/>
      <c r="P212" s="73"/>
      <c r="Q212" s="73"/>
      <c r="R212" s="73"/>
      <c r="S212" s="73"/>
      <c r="T212" s="73"/>
      <c r="U212" s="74"/>
    </row>
    <row r="213" spans="2:21" s="15" customFormat="1" x14ac:dyDescent="0.25">
      <c r="B213" s="72" t="s">
        <v>3554</v>
      </c>
      <c r="C213" s="73"/>
      <c r="D213" s="73"/>
      <c r="E213" s="73"/>
      <c r="F213" s="73"/>
      <c r="G213" s="73"/>
      <c r="H213" s="73"/>
      <c r="I213" s="73"/>
      <c r="J213" s="73"/>
      <c r="K213" s="73"/>
      <c r="L213" s="73"/>
      <c r="M213" s="73"/>
      <c r="N213" s="73"/>
      <c r="O213" s="73"/>
      <c r="P213" s="73"/>
      <c r="Q213" s="73"/>
      <c r="R213" s="73"/>
      <c r="S213" s="73"/>
      <c r="T213" s="73"/>
      <c r="U213" s="74"/>
    </row>
    <row r="214" spans="2:21" s="15" customFormat="1" x14ac:dyDescent="0.25">
      <c r="B214" s="72" t="s">
        <v>3543</v>
      </c>
      <c r="C214" s="73"/>
      <c r="D214" s="73"/>
      <c r="E214" s="73"/>
      <c r="F214" s="73"/>
      <c r="G214" s="73"/>
      <c r="H214" s="73"/>
      <c r="I214" s="73"/>
      <c r="J214" s="73"/>
      <c r="K214" s="73"/>
      <c r="L214" s="73"/>
      <c r="M214" s="73"/>
      <c r="N214" s="73"/>
      <c r="O214" s="73"/>
      <c r="P214" s="73"/>
      <c r="Q214" s="73"/>
      <c r="R214" s="73"/>
      <c r="S214" s="73"/>
      <c r="T214" s="73"/>
      <c r="U214" s="74"/>
    </row>
    <row r="215" spans="2:21" s="15" customFormat="1" x14ac:dyDescent="0.25">
      <c r="B215" s="72" t="s">
        <v>3146</v>
      </c>
      <c r="C215" s="73"/>
      <c r="D215" s="73"/>
      <c r="E215" s="73"/>
      <c r="F215" s="73"/>
      <c r="G215" s="73"/>
      <c r="H215" s="73"/>
      <c r="I215" s="73"/>
      <c r="J215" s="73"/>
      <c r="K215" s="73"/>
      <c r="L215" s="73"/>
      <c r="M215" s="73"/>
      <c r="N215" s="73"/>
      <c r="O215" s="73"/>
      <c r="P215" s="73"/>
      <c r="Q215" s="73"/>
      <c r="R215" s="73"/>
      <c r="S215" s="73"/>
      <c r="T215" s="73"/>
      <c r="U215" s="74"/>
    </row>
    <row r="216" spans="2:21" s="15" customFormat="1" x14ac:dyDescent="0.25">
      <c r="B216" s="72" t="s">
        <v>3544</v>
      </c>
      <c r="C216" s="73"/>
      <c r="D216" s="73"/>
      <c r="E216" s="73"/>
      <c r="F216" s="73"/>
      <c r="G216" s="73"/>
      <c r="H216" s="73"/>
      <c r="I216" s="73"/>
      <c r="J216" s="73"/>
      <c r="K216" s="73"/>
      <c r="L216" s="73"/>
      <c r="M216" s="73"/>
      <c r="N216" s="73"/>
      <c r="O216" s="73"/>
      <c r="P216" s="73"/>
      <c r="Q216" s="73"/>
      <c r="R216" s="73"/>
      <c r="S216" s="73"/>
      <c r="T216" s="73"/>
      <c r="U216" s="74"/>
    </row>
    <row r="217" spans="2:21" s="15" customFormat="1" x14ac:dyDescent="0.25">
      <c r="B217" s="72" t="s">
        <v>3545</v>
      </c>
      <c r="C217" s="73"/>
      <c r="D217" s="73"/>
      <c r="E217" s="73"/>
      <c r="F217" s="73"/>
      <c r="G217" s="73"/>
      <c r="H217" s="73"/>
      <c r="I217" s="73"/>
      <c r="J217" s="73"/>
      <c r="K217" s="73"/>
      <c r="L217" s="73"/>
      <c r="M217" s="73"/>
      <c r="N217" s="73"/>
      <c r="O217" s="73"/>
      <c r="P217" s="73"/>
      <c r="Q217" s="73"/>
      <c r="R217" s="73"/>
      <c r="S217" s="73"/>
      <c r="T217" s="73"/>
      <c r="U217" s="74"/>
    </row>
    <row r="218" spans="2:21" s="15" customFormat="1" x14ac:dyDescent="0.25">
      <c r="B218" s="72" t="s">
        <v>3546</v>
      </c>
      <c r="C218" s="73"/>
      <c r="D218" s="73"/>
      <c r="E218" s="73"/>
      <c r="F218" s="73"/>
      <c r="G218" s="73"/>
      <c r="H218" s="73"/>
      <c r="I218" s="73"/>
      <c r="J218" s="73"/>
      <c r="K218" s="73"/>
      <c r="L218" s="73"/>
      <c r="M218" s="73"/>
      <c r="N218" s="73"/>
      <c r="O218" s="73"/>
      <c r="P218" s="73"/>
      <c r="Q218" s="73"/>
      <c r="R218" s="73"/>
      <c r="S218" s="73"/>
      <c r="T218" s="73"/>
      <c r="U218" s="74"/>
    </row>
    <row r="219" spans="2:21" s="15" customFormat="1" x14ac:dyDescent="0.25">
      <c r="B219" s="72" t="s">
        <v>3547</v>
      </c>
      <c r="C219" s="73"/>
      <c r="D219" s="73"/>
      <c r="E219" s="73"/>
      <c r="F219" s="73"/>
      <c r="G219" s="73"/>
      <c r="H219" s="73"/>
      <c r="I219" s="73"/>
      <c r="J219" s="73"/>
      <c r="K219" s="73"/>
      <c r="L219" s="73"/>
      <c r="M219" s="73"/>
      <c r="N219" s="73"/>
      <c r="O219" s="73"/>
      <c r="P219" s="73"/>
      <c r="Q219" s="73"/>
      <c r="R219" s="73"/>
      <c r="S219" s="73"/>
      <c r="T219" s="73"/>
      <c r="U219" s="74"/>
    </row>
    <row r="220" spans="2:21" s="15" customFormat="1" x14ac:dyDescent="0.25">
      <c r="B220" s="72" t="s">
        <v>3548</v>
      </c>
      <c r="C220" s="73"/>
      <c r="D220" s="73"/>
      <c r="E220" s="73"/>
      <c r="F220" s="73"/>
      <c r="G220" s="73"/>
      <c r="H220" s="73"/>
      <c r="I220" s="73"/>
      <c r="J220" s="73"/>
      <c r="K220" s="73"/>
      <c r="L220" s="73"/>
      <c r="M220" s="73"/>
      <c r="N220" s="73"/>
      <c r="O220" s="73"/>
      <c r="P220" s="73"/>
      <c r="Q220" s="73"/>
      <c r="R220" s="73"/>
      <c r="S220" s="73"/>
      <c r="T220" s="73"/>
      <c r="U220" s="74"/>
    </row>
    <row r="221" spans="2:21" s="15" customFormat="1" x14ac:dyDescent="0.25">
      <c r="B221" s="72" t="s">
        <v>3549</v>
      </c>
      <c r="C221" s="73"/>
      <c r="D221" s="73"/>
      <c r="E221" s="73"/>
      <c r="F221" s="73"/>
      <c r="G221" s="73"/>
      <c r="H221" s="73"/>
      <c r="I221" s="73"/>
      <c r="J221" s="73"/>
      <c r="K221" s="73"/>
      <c r="L221" s="73"/>
      <c r="M221" s="73"/>
      <c r="N221" s="73"/>
      <c r="O221" s="73"/>
      <c r="P221" s="73"/>
      <c r="Q221" s="73"/>
      <c r="R221" s="73"/>
      <c r="S221" s="73"/>
      <c r="T221" s="73"/>
      <c r="U221" s="74"/>
    </row>
    <row r="222" spans="2:21" s="15" customFormat="1" x14ac:dyDescent="0.25">
      <c r="B222" s="72" t="s">
        <v>3550</v>
      </c>
      <c r="C222" s="73"/>
      <c r="D222" s="73"/>
      <c r="E222" s="73"/>
      <c r="F222" s="73"/>
      <c r="G222" s="73"/>
      <c r="H222" s="73"/>
      <c r="I222" s="73"/>
      <c r="J222" s="73"/>
      <c r="K222" s="73"/>
      <c r="L222" s="73"/>
      <c r="M222" s="73"/>
      <c r="N222" s="73"/>
      <c r="O222" s="73"/>
      <c r="P222" s="73"/>
      <c r="Q222" s="73"/>
      <c r="R222" s="73"/>
      <c r="S222" s="73"/>
      <c r="T222" s="73"/>
      <c r="U222" s="74"/>
    </row>
    <row r="223" spans="2:21" s="15" customFormat="1" x14ac:dyDescent="0.25">
      <c r="B223" s="72" t="s">
        <v>3551</v>
      </c>
      <c r="C223" s="73"/>
      <c r="D223" s="73"/>
      <c r="E223" s="73"/>
      <c r="F223" s="73"/>
      <c r="G223" s="73"/>
      <c r="H223" s="73"/>
      <c r="I223" s="73"/>
      <c r="J223" s="73"/>
      <c r="K223" s="73"/>
      <c r="L223" s="73"/>
      <c r="M223" s="73"/>
      <c r="N223" s="73"/>
      <c r="O223" s="73"/>
      <c r="P223" s="73"/>
      <c r="Q223" s="73"/>
      <c r="R223" s="73"/>
      <c r="S223" s="73"/>
      <c r="T223" s="73"/>
      <c r="U223" s="74"/>
    </row>
    <row r="224" spans="2:21" s="15" customFormat="1" x14ac:dyDescent="0.25">
      <c r="B224" s="72" t="s">
        <v>3552</v>
      </c>
      <c r="C224" s="73"/>
      <c r="D224" s="73"/>
      <c r="E224" s="73"/>
      <c r="F224" s="73"/>
      <c r="G224" s="73"/>
      <c r="H224" s="73"/>
      <c r="I224" s="73"/>
      <c r="J224" s="73"/>
      <c r="K224" s="73"/>
      <c r="L224" s="73"/>
      <c r="M224" s="73"/>
      <c r="N224" s="73"/>
      <c r="O224" s="73"/>
      <c r="P224" s="73"/>
      <c r="Q224" s="73"/>
      <c r="R224" s="73"/>
      <c r="S224" s="73"/>
      <c r="T224" s="73"/>
      <c r="U224" s="74"/>
    </row>
    <row r="225" spans="2:21" s="15" customFormat="1" x14ac:dyDescent="0.25">
      <c r="B225" s="72" t="s">
        <v>3151</v>
      </c>
      <c r="C225" s="73"/>
      <c r="D225" s="73"/>
      <c r="E225" s="73"/>
      <c r="F225" s="73"/>
      <c r="G225" s="73"/>
      <c r="H225" s="73"/>
      <c r="I225" s="73"/>
      <c r="J225" s="73"/>
      <c r="K225" s="73"/>
      <c r="L225" s="73"/>
      <c r="M225" s="73"/>
      <c r="N225" s="73"/>
      <c r="O225" s="73"/>
      <c r="P225" s="73"/>
      <c r="Q225" s="73"/>
      <c r="R225" s="73"/>
      <c r="S225" s="73"/>
      <c r="T225" s="73"/>
      <c r="U225" s="74"/>
    </row>
    <row r="226" spans="2:21" s="15" customFormat="1" x14ac:dyDescent="0.25">
      <c r="B226" s="72" t="s">
        <v>3181</v>
      </c>
      <c r="C226" s="73"/>
      <c r="D226" s="73"/>
      <c r="E226" s="73"/>
      <c r="F226" s="73"/>
      <c r="G226" s="73"/>
      <c r="H226" s="73"/>
      <c r="I226" s="73"/>
      <c r="J226" s="73"/>
      <c r="K226" s="73"/>
      <c r="L226" s="73"/>
      <c r="M226" s="73"/>
      <c r="N226" s="73"/>
      <c r="O226" s="73"/>
      <c r="P226" s="73"/>
      <c r="Q226" s="73"/>
      <c r="R226" s="73"/>
      <c r="S226" s="73"/>
      <c r="T226" s="73"/>
      <c r="U226" s="74"/>
    </row>
    <row r="227" spans="2:21" s="15" customFormat="1" x14ac:dyDescent="0.25">
      <c r="B227" s="72" t="s">
        <v>3085</v>
      </c>
      <c r="C227" s="73"/>
      <c r="D227" s="73"/>
      <c r="E227" s="73"/>
      <c r="F227" s="73"/>
      <c r="G227" s="73"/>
      <c r="H227" s="73"/>
      <c r="I227" s="73"/>
      <c r="J227" s="73"/>
      <c r="K227" s="73"/>
      <c r="L227" s="73"/>
      <c r="M227" s="73"/>
      <c r="N227" s="73"/>
      <c r="O227" s="73"/>
      <c r="P227" s="73"/>
      <c r="Q227" s="73"/>
      <c r="R227" s="73"/>
      <c r="S227" s="73"/>
      <c r="T227" s="73"/>
      <c r="U227" s="74"/>
    </row>
    <row r="228" spans="2:21" s="15" customFormat="1" x14ac:dyDescent="0.25">
      <c r="B228" s="72" t="s">
        <v>3537</v>
      </c>
      <c r="C228" s="73"/>
      <c r="D228" s="73"/>
      <c r="E228" s="73"/>
      <c r="F228" s="73"/>
      <c r="G228" s="73"/>
      <c r="H228" s="73"/>
      <c r="I228" s="73"/>
      <c r="J228" s="73"/>
      <c r="K228" s="73"/>
      <c r="L228" s="73"/>
      <c r="M228" s="73"/>
      <c r="N228" s="73"/>
      <c r="O228" s="73"/>
      <c r="P228" s="73"/>
      <c r="Q228" s="73"/>
      <c r="R228" s="73"/>
      <c r="S228" s="73"/>
      <c r="T228" s="73"/>
      <c r="U228" s="74"/>
    </row>
    <row r="229" spans="2:21" s="15" customFormat="1" x14ac:dyDescent="0.25">
      <c r="B229" s="72" t="s">
        <v>3555</v>
      </c>
      <c r="C229" s="73"/>
      <c r="D229" s="73"/>
      <c r="E229" s="73"/>
      <c r="F229" s="73"/>
      <c r="G229" s="73"/>
      <c r="H229" s="73"/>
      <c r="I229" s="73"/>
      <c r="J229" s="73"/>
      <c r="K229" s="73"/>
      <c r="L229" s="73"/>
      <c r="M229" s="73"/>
      <c r="N229" s="73"/>
      <c r="O229" s="73"/>
      <c r="P229" s="73"/>
      <c r="Q229" s="73"/>
      <c r="R229" s="73"/>
      <c r="S229" s="73"/>
      <c r="T229" s="73"/>
      <c r="U229" s="74"/>
    </row>
    <row r="230" spans="2:21" s="15" customFormat="1" x14ac:dyDescent="0.25">
      <c r="B230" s="72" t="s">
        <v>3556</v>
      </c>
      <c r="C230" s="73"/>
      <c r="D230" s="73"/>
      <c r="E230" s="73"/>
      <c r="F230" s="73"/>
      <c r="G230" s="73"/>
      <c r="H230" s="73"/>
      <c r="I230" s="73"/>
      <c r="J230" s="73"/>
      <c r="K230" s="73"/>
      <c r="L230" s="73"/>
      <c r="M230" s="73"/>
      <c r="N230" s="73"/>
      <c r="O230" s="73"/>
      <c r="P230" s="73"/>
      <c r="Q230" s="73"/>
      <c r="R230" s="73"/>
      <c r="S230" s="73"/>
      <c r="T230" s="73"/>
      <c r="U230" s="74"/>
    </row>
    <row r="231" spans="2:21" s="15" customFormat="1" x14ac:dyDescent="0.25">
      <c r="B231" s="72" t="s">
        <v>3557</v>
      </c>
      <c r="C231" s="73"/>
      <c r="D231" s="73"/>
      <c r="E231" s="73"/>
      <c r="F231" s="73"/>
      <c r="G231" s="73"/>
      <c r="H231" s="73"/>
      <c r="I231" s="73"/>
      <c r="J231" s="73"/>
      <c r="K231" s="73"/>
      <c r="L231" s="73"/>
      <c r="M231" s="73"/>
      <c r="N231" s="73"/>
      <c r="O231" s="73"/>
      <c r="P231" s="73"/>
      <c r="Q231" s="73"/>
      <c r="R231" s="73"/>
      <c r="S231" s="73"/>
      <c r="T231" s="73"/>
      <c r="U231" s="74"/>
    </row>
    <row r="232" spans="2:21" s="15" customFormat="1" x14ac:dyDescent="0.25">
      <c r="B232" s="72" t="s">
        <v>3558</v>
      </c>
      <c r="C232" s="73"/>
      <c r="D232" s="73"/>
      <c r="E232" s="73"/>
      <c r="F232" s="73"/>
      <c r="G232" s="73"/>
      <c r="H232" s="73"/>
      <c r="I232" s="73"/>
      <c r="J232" s="73"/>
      <c r="K232" s="73"/>
      <c r="L232" s="73"/>
      <c r="M232" s="73"/>
      <c r="N232" s="73"/>
      <c r="O232" s="73"/>
      <c r="P232" s="73"/>
      <c r="Q232" s="73"/>
      <c r="R232" s="73"/>
      <c r="S232" s="73"/>
      <c r="T232" s="73"/>
      <c r="U232" s="74"/>
    </row>
    <row r="233" spans="2:21" s="15" customFormat="1" x14ac:dyDescent="0.25">
      <c r="B233" s="72" t="s">
        <v>3559</v>
      </c>
      <c r="C233" s="73"/>
      <c r="D233" s="73"/>
      <c r="E233" s="73"/>
      <c r="F233" s="73"/>
      <c r="G233" s="73"/>
      <c r="H233" s="73"/>
      <c r="I233" s="73"/>
      <c r="J233" s="73"/>
      <c r="K233" s="73"/>
      <c r="L233" s="73"/>
      <c r="M233" s="73"/>
      <c r="N233" s="73"/>
      <c r="O233" s="73"/>
      <c r="P233" s="73"/>
      <c r="Q233" s="73"/>
      <c r="R233" s="73"/>
      <c r="S233" s="73"/>
      <c r="T233" s="73"/>
      <c r="U233" s="74"/>
    </row>
    <row r="234" spans="2:21" s="15" customFormat="1" x14ac:dyDescent="0.25">
      <c r="B234" s="72" t="s">
        <v>3146</v>
      </c>
      <c r="C234" s="73"/>
      <c r="D234" s="73"/>
      <c r="E234" s="73"/>
      <c r="F234" s="73"/>
      <c r="G234" s="73"/>
      <c r="H234" s="73"/>
      <c r="I234" s="73"/>
      <c r="J234" s="73"/>
      <c r="K234" s="73"/>
      <c r="L234" s="73"/>
      <c r="M234" s="73"/>
      <c r="N234" s="73"/>
      <c r="O234" s="73"/>
      <c r="P234" s="73"/>
      <c r="Q234" s="73"/>
      <c r="R234" s="73"/>
      <c r="S234" s="73"/>
      <c r="T234" s="73"/>
      <c r="U234" s="74"/>
    </row>
    <row r="235" spans="2:21" s="15" customFormat="1" x14ac:dyDescent="0.25">
      <c r="B235" s="72" t="s">
        <v>3560</v>
      </c>
      <c r="C235" s="73"/>
      <c r="D235" s="73"/>
      <c r="E235" s="73"/>
      <c r="F235" s="73"/>
      <c r="G235" s="73"/>
      <c r="H235" s="73"/>
      <c r="I235" s="73"/>
      <c r="J235" s="73"/>
      <c r="K235" s="73"/>
      <c r="L235" s="73"/>
      <c r="M235" s="73"/>
      <c r="N235" s="73"/>
      <c r="O235" s="73"/>
      <c r="P235" s="73"/>
      <c r="Q235" s="73"/>
      <c r="R235" s="73"/>
      <c r="S235" s="73"/>
      <c r="T235" s="73"/>
      <c r="U235" s="74"/>
    </row>
    <row r="236" spans="2:21" s="15" customFormat="1" x14ac:dyDescent="0.25">
      <c r="B236" s="72" t="s">
        <v>3561</v>
      </c>
      <c r="C236" s="73"/>
      <c r="D236" s="73"/>
      <c r="E236" s="73"/>
      <c r="F236" s="73"/>
      <c r="G236" s="73"/>
      <c r="H236" s="73"/>
      <c r="I236" s="73"/>
      <c r="J236" s="73"/>
      <c r="K236" s="73"/>
      <c r="L236" s="73"/>
      <c r="M236" s="73"/>
      <c r="N236" s="73"/>
      <c r="O236" s="73"/>
      <c r="P236" s="73"/>
      <c r="Q236" s="73"/>
      <c r="R236" s="73"/>
      <c r="S236" s="73"/>
      <c r="T236" s="73"/>
      <c r="U236" s="74"/>
    </row>
    <row r="237" spans="2:21" s="15" customFormat="1" x14ac:dyDescent="0.25">
      <c r="B237" s="72" t="s">
        <v>3546</v>
      </c>
      <c r="C237" s="73"/>
      <c r="D237" s="73"/>
      <c r="E237" s="73"/>
      <c r="F237" s="73"/>
      <c r="G237" s="73"/>
      <c r="H237" s="73"/>
      <c r="I237" s="73"/>
      <c r="J237" s="73"/>
      <c r="K237" s="73"/>
      <c r="L237" s="73"/>
      <c r="M237" s="73"/>
      <c r="N237" s="73"/>
      <c r="O237" s="73"/>
      <c r="P237" s="73"/>
      <c r="Q237" s="73"/>
      <c r="R237" s="73"/>
      <c r="S237" s="73"/>
      <c r="T237" s="73"/>
      <c r="U237" s="74"/>
    </row>
    <row r="238" spans="2:21" s="15" customFormat="1" x14ac:dyDescent="0.25">
      <c r="B238" s="72" t="s">
        <v>3562</v>
      </c>
      <c r="C238" s="73"/>
      <c r="D238" s="73"/>
      <c r="E238" s="73"/>
      <c r="F238" s="73"/>
      <c r="G238" s="73"/>
      <c r="H238" s="73"/>
      <c r="I238" s="73"/>
      <c r="J238" s="73"/>
      <c r="K238" s="73"/>
      <c r="L238" s="73"/>
      <c r="M238" s="73"/>
      <c r="N238" s="73"/>
      <c r="O238" s="73"/>
      <c r="P238" s="73"/>
      <c r="Q238" s="73"/>
      <c r="R238" s="73"/>
      <c r="S238" s="73"/>
      <c r="T238" s="73"/>
      <c r="U238" s="74"/>
    </row>
    <row r="239" spans="2:21" s="15" customFormat="1" x14ac:dyDescent="0.25">
      <c r="B239" s="72" t="s">
        <v>3151</v>
      </c>
      <c r="C239" s="73"/>
      <c r="D239" s="73"/>
      <c r="E239" s="73"/>
      <c r="F239" s="73"/>
      <c r="G239" s="73"/>
      <c r="H239" s="73"/>
      <c r="I239" s="73"/>
      <c r="J239" s="73"/>
      <c r="K239" s="73"/>
      <c r="L239" s="73"/>
      <c r="M239" s="73"/>
      <c r="N239" s="73"/>
      <c r="O239" s="73"/>
      <c r="P239" s="73"/>
      <c r="Q239" s="73"/>
      <c r="R239" s="73"/>
      <c r="S239" s="73"/>
      <c r="T239" s="73"/>
      <c r="U239" s="74"/>
    </row>
    <row r="240" spans="2:21" s="15" customFormat="1" x14ac:dyDescent="0.25">
      <c r="B240" s="72" t="s">
        <v>3181</v>
      </c>
      <c r="C240" s="73"/>
      <c r="D240" s="73"/>
      <c r="E240" s="73"/>
      <c r="F240" s="73"/>
      <c r="G240" s="73"/>
      <c r="H240" s="73"/>
      <c r="I240" s="73"/>
      <c r="J240" s="73"/>
      <c r="K240" s="73"/>
      <c r="L240" s="73"/>
      <c r="M240" s="73"/>
      <c r="N240" s="73"/>
      <c r="O240" s="73"/>
      <c r="P240" s="73"/>
      <c r="Q240" s="73"/>
      <c r="R240" s="73"/>
      <c r="S240" s="73"/>
      <c r="T240" s="73"/>
      <c r="U240" s="74"/>
    </row>
    <row r="241" spans="2:21" s="15" customFormat="1" x14ac:dyDescent="0.25">
      <c r="B241" s="72" t="s">
        <v>3085</v>
      </c>
      <c r="C241" s="73"/>
      <c r="D241" s="73"/>
      <c r="E241" s="73"/>
      <c r="F241" s="73"/>
      <c r="G241" s="73"/>
      <c r="H241" s="73"/>
      <c r="I241" s="73"/>
      <c r="J241" s="73"/>
      <c r="K241" s="73"/>
      <c r="L241" s="73"/>
      <c r="M241" s="73"/>
      <c r="N241" s="73"/>
      <c r="O241" s="73"/>
      <c r="P241" s="73"/>
      <c r="Q241" s="73"/>
      <c r="R241" s="73"/>
      <c r="S241" s="73"/>
      <c r="T241" s="73"/>
      <c r="U241" s="74"/>
    </row>
    <row r="242" spans="2:21" s="15" customFormat="1" x14ac:dyDescent="0.25">
      <c r="B242" s="72" t="s">
        <v>3563</v>
      </c>
      <c r="C242" s="73"/>
      <c r="D242" s="73"/>
      <c r="E242" s="73"/>
      <c r="F242" s="73"/>
      <c r="G242" s="73"/>
      <c r="H242" s="73"/>
      <c r="I242" s="73"/>
      <c r="J242" s="73"/>
      <c r="K242" s="73"/>
      <c r="L242" s="73"/>
      <c r="M242" s="73"/>
      <c r="N242" s="73"/>
      <c r="O242" s="73"/>
      <c r="P242" s="73"/>
      <c r="Q242" s="73"/>
      <c r="R242" s="73"/>
      <c r="S242" s="73"/>
      <c r="T242" s="73"/>
      <c r="U242" s="74"/>
    </row>
    <row r="243" spans="2:21" s="15" customFormat="1" x14ac:dyDescent="0.25">
      <c r="B243" s="72" t="s">
        <v>3531</v>
      </c>
      <c r="C243" s="73"/>
      <c r="D243" s="73"/>
      <c r="E243" s="73"/>
      <c r="F243" s="73"/>
      <c r="G243" s="73"/>
      <c r="H243" s="73"/>
      <c r="I243" s="73"/>
      <c r="J243" s="73"/>
      <c r="K243" s="73"/>
      <c r="L243" s="73"/>
      <c r="M243" s="73"/>
      <c r="N243" s="73"/>
      <c r="O243" s="73"/>
      <c r="P243" s="73"/>
      <c r="Q243" s="73"/>
      <c r="R243" s="73"/>
      <c r="S243" s="73"/>
      <c r="T243" s="73"/>
      <c r="U243" s="74"/>
    </row>
    <row r="244" spans="2:21" s="15" customFormat="1" x14ac:dyDescent="0.25">
      <c r="B244" s="72" t="s">
        <v>3203</v>
      </c>
      <c r="C244" s="73"/>
      <c r="D244" s="73"/>
      <c r="E244" s="73"/>
      <c r="F244" s="73"/>
      <c r="G244" s="73"/>
      <c r="H244" s="73"/>
      <c r="I244" s="73"/>
      <c r="J244" s="73"/>
      <c r="K244" s="73"/>
      <c r="L244" s="73"/>
      <c r="M244" s="73"/>
      <c r="N244" s="73"/>
      <c r="O244" s="73"/>
      <c r="P244" s="73"/>
      <c r="Q244" s="73"/>
      <c r="R244" s="73"/>
      <c r="S244" s="73"/>
      <c r="T244" s="73"/>
      <c r="U244" s="74"/>
    </row>
    <row r="245" spans="2:21" s="15" customFormat="1" x14ac:dyDescent="0.25">
      <c r="B245" s="72" t="s">
        <v>3564</v>
      </c>
      <c r="C245" s="73"/>
      <c r="D245" s="73"/>
      <c r="E245" s="73"/>
      <c r="F245" s="73"/>
      <c r="G245" s="73"/>
      <c r="H245" s="73"/>
      <c r="I245" s="73"/>
      <c r="J245" s="73"/>
      <c r="K245" s="73"/>
      <c r="L245" s="73"/>
      <c r="M245" s="73"/>
      <c r="N245" s="73"/>
      <c r="O245" s="73"/>
      <c r="P245" s="73"/>
      <c r="Q245" s="73"/>
      <c r="R245" s="73"/>
      <c r="S245" s="73"/>
      <c r="T245" s="73"/>
      <c r="U245" s="74"/>
    </row>
    <row r="246" spans="2:21" s="15" customFormat="1" x14ac:dyDescent="0.25">
      <c r="B246" s="72" t="s">
        <v>3083</v>
      </c>
      <c r="C246" s="73"/>
      <c r="D246" s="73"/>
      <c r="E246" s="73"/>
      <c r="F246" s="73"/>
      <c r="G246" s="73"/>
      <c r="H246" s="73"/>
      <c r="I246" s="73"/>
      <c r="J246" s="73"/>
      <c r="K246" s="73"/>
      <c r="L246" s="73"/>
      <c r="M246" s="73"/>
      <c r="N246" s="73"/>
      <c r="O246" s="73"/>
      <c r="P246" s="73"/>
      <c r="Q246" s="73"/>
      <c r="R246" s="73"/>
      <c r="S246" s="73"/>
      <c r="T246" s="73"/>
      <c r="U246" s="74"/>
    </row>
    <row r="247" spans="2:21" s="15" customFormat="1" x14ac:dyDescent="0.25">
      <c r="B247" s="72" t="s">
        <v>3093</v>
      </c>
      <c r="C247" s="73"/>
      <c r="D247" s="73"/>
      <c r="E247" s="73"/>
      <c r="F247" s="73"/>
      <c r="G247" s="73"/>
      <c r="H247" s="73"/>
      <c r="I247" s="73"/>
      <c r="J247" s="73"/>
      <c r="K247" s="73"/>
      <c r="L247" s="73"/>
      <c r="M247" s="73"/>
      <c r="N247" s="73"/>
      <c r="O247" s="73"/>
      <c r="P247" s="73"/>
      <c r="Q247" s="73"/>
      <c r="R247" s="73"/>
      <c r="S247" s="73"/>
      <c r="T247" s="73"/>
      <c r="U247" s="74"/>
    </row>
    <row r="248" spans="2:21" s="15" customFormat="1" x14ac:dyDescent="0.25">
      <c r="B248" s="72" t="s">
        <v>3565</v>
      </c>
      <c r="C248" s="73"/>
      <c r="D248" s="73"/>
      <c r="E248" s="73"/>
      <c r="F248" s="73"/>
      <c r="G248" s="73"/>
      <c r="H248" s="73"/>
      <c r="I248" s="73"/>
      <c r="J248" s="73"/>
      <c r="K248" s="73"/>
      <c r="L248" s="73"/>
      <c r="M248" s="73"/>
      <c r="N248" s="73"/>
      <c r="O248" s="73"/>
      <c r="P248" s="73"/>
      <c r="Q248" s="73"/>
      <c r="R248" s="73"/>
      <c r="S248" s="73"/>
      <c r="T248" s="73"/>
      <c r="U248" s="74"/>
    </row>
    <row r="249" spans="2:21" s="15" customFormat="1" x14ac:dyDescent="0.25">
      <c r="B249" s="72" t="s">
        <v>3085</v>
      </c>
      <c r="C249" s="73"/>
      <c r="D249" s="73"/>
      <c r="E249" s="73"/>
      <c r="F249" s="73"/>
      <c r="G249" s="73"/>
      <c r="H249" s="73"/>
      <c r="I249" s="73"/>
      <c r="J249" s="73"/>
      <c r="K249" s="73"/>
      <c r="L249" s="73"/>
      <c r="M249" s="73"/>
      <c r="N249" s="73"/>
      <c r="O249" s="73"/>
      <c r="P249" s="73"/>
      <c r="Q249" s="73"/>
      <c r="R249" s="73"/>
      <c r="S249" s="73"/>
      <c r="T249" s="73"/>
      <c r="U249" s="74"/>
    </row>
    <row r="250" spans="2:21" s="15" customFormat="1" x14ac:dyDescent="0.25">
      <c r="B250" s="72" t="s">
        <v>3566</v>
      </c>
      <c r="C250" s="73"/>
      <c r="D250" s="73"/>
      <c r="E250" s="73"/>
      <c r="F250" s="73"/>
      <c r="G250" s="73"/>
      <c r="H250" s="73"/>
      <c r="I250" s="73"/>
      <c r="J250" s="73"/>
      <c r="K250" s="73"/>
      <c r="L250" s="73"/>
      <c r="M250" s="73"/>
      <c r="N250" s="73"/>
      <c r="O250" s="73"/>
      <c r="P250" s="73"/>
      <c r="Q250" s="73"/>
      <c r="R250" s="73"/>
      <c r="S250" s="73"/>
      <c r="T250" s="73"/>
      <c r="U250" s="74"/>
    </row>
    <row r="251" spans="2:21" s="15" customFormat="1" x14ac:dyDescent="0.25">
      <c r="B251" s="72" t="s">
        <v>3537</v>
      </c>
      <c r="C251" s="73"/>
      <c r="D251" s="73"/>
      <c r="E251" s="73"/>
      <c r="F251" s="73"/>
      <c r="G251" s="73"/>
      <c r="H251" s="73"/>
      <c r="I251" s="73"/>
      <c r="J251" s="73"/>
      <c r="K251" s="73"/>
      <c r="L251" s="73"/>
      <c r="M251" s="73"/>
      <c r="N251" s="73"/>
      <c r="O251" s="73"/>
      <c r="P251" s="73"/>
      <c r="Q251" s="73"/>
      <c r="R251" s="73"/>
      <c r="S251" s="73"/>
      <c r="T251" s="73"/>
      <c r="U251" s="74"/>
    </row>
    <row r="252" spans="2:21" s="15" customFormat="1" x14ac:dyDescent="0.25">
      <c r="B252" s="72" t="s">
        <v>3567</v>
      </c>
      <c r="C252" s="73"/>
      <c r="D252" s="73"/>
      <c r="E252" s="73"/>
      <c r="F252" s="73"/>
      <c r="G252" s="73"/>
      <c r="H252" s="73"/>
      <c r="I252" s="73"/>
      <c r="J252" s="73"/>
      <c r="K252" s="73"/>
      <c r="L252" s="73"/>
      <c r="M252" s="73"/>
      <c r="N252" s="73"/>
      <c r="O252" s="73"/>
      <c r="P252" s="73"/>
      <c r="Q252" s="73"/>
      <c r="R252" s="73"/>
      <c r="S252" s="73"/>
      <c r="T252" s="73"/>
      <c r="U252" s="74"/>
    </row>
    <row r="253" spans="2:21" s="15" customFormat="1" x14ac:dyDescent="0.25">
      <c r="B253" s="72" t="s">
        <v>3568</v>
      </c>
      <c r="C253" s="73"/>
      <c r="D253" s="73"/>
      <c r="E253" s="73"/>
      <c r="F253" s="73"/>
      <c r="G253" s="73"/>
      <c r="H253" s="73"/>
      <c r="I253" s="73"/>
      <c r="J253" s="73"/>
      <c r="K253" s="73"/>
      <c r="L253" s="73"/>
      <c r="M253" s="73"/>
      <c r="N253" s="73"/>
      <c r="O253" s="73"/>
      <c r="P253" s="73"/>
      <c r="Q253" s="73"/>
      <c r="R253" s="73"/>
      <c r="S253" s="73"/>
      <c r="T253" s="73"/>
      <c r="U253" s="74"/>
    </row>
    <row r="254" spans="2:21" s="15" customFormat="1" x14ac:dyDescent="0.25">
      <c r="B254" s="72" t="s">
        <v>3569</v>
      </c>
      <c r="C254" s="73"/>
      <c r="D254" s="73"/>
      <c r="E254" s="73"/>
      <c r="F254" s="73"/>
      <c r="G254" s="73"/>
      <c r="H254" s="73"/>
      <c r="I254" s="73"/>
      <c r="J254" s="73"/>
      <c r="K254" s="73"/>
      <c r="L254" s="73"/>
      <c r="M254" s="73"/>
      <c r="N254" s="73"/>
      <c r="O254" s="73"/>
      <c r="P254" s="73"/>
      <c r="Q254" s="73"/>
      <c r="R254" s="73"/>
      <c r="S254" s="73"/>
      <c r="T254" s="73"/>
      <c r="U254" s="74"/>
    </row>
    <row r="255" spans="2:21" s="15" customFormat="1" x14ac:dyDescent="0.25">
      <c r="B255" s="72" t="s">
        <v>3181</v>
      </c>
      <c r="C255" s="73"/>
      <c r="D255" s="73"/>
      <c r="E255" s="73"/>
      <c r="F255" s="73"/>
      <c r="G255" s="73"/>
      <c r="H255" s="73"/>
      <c r="I255" s="73"/>
      <c r="J255" s="73"/>
      <c r="K255" s="73"/>
      <c r="L255" s="73"/>
      <c r="M255" s="73"/>
      <c r="N255" s="73"/>
      <c r="O255" s="73"/>
      <c r="P255" s="73"/>
      <c r="Q255" s="73"/>
      <c r="R255" s="73"/>
      <c r="S255" s="73"/>
      <c r="T255" s="73"/>
      <c r="U255" s="74"/>
    </row>
    <row r="256" spans="2:21" s="15" customFormat="1" x14ac:dyDescent="0.25">
      <c r="B256" s="72" t="s">
        <v>3085</v>
      </c>
      <c r="C256" s="73"/>
      <c r="D256" s="73"/>
      <c r="E256" s="73"/>
      <c r="F256" s="73"/>
      <c r="G256" s="73"/>
      <c r="H256" s="73"/>
      <c r="I256" s="73"/>
      <c r="J256" s="73"/>
      <c r="K256" s="73"/>
      <c r="L256" s="73"/>
      <c r="M256" s="73"/>
      <c r="N256" s="73"/>
      <c r="O256" s="73"/>
      <c r="P256" s="73"/>
      <c r="Q256" s="73"/>
      <c r="R256" s="73"/>
      <c r="S256" s="73"/>
      <c r="T256" s="73"/>
      <c r="U256" s="74"/>
    </row>
    <row r="257" spans="2:21" s="15" customFormat="1" x14ac:dyDescent="0.25">
      <c r="B257" s="72" t="s">
        <v>3566</v>
      </c>
      <c r="C257" s="73"/>
      <c r="D257" s="73"/>
      <c r="E257" s="73"/>
      <c r="F257" s="73"/>
      <c r="G257" s="73"/>
      <c r="H257" s="73"/>
      <c r="I257" s="73"/>
      <c r="J257" s="73"/>
      <c r="K257" s="73"/>
      <c r="L257" s="73"/>
      <c r="M257" s="73"/>
      <c r="N257" s="73"/>
      <c r="O257" s="73"/>
      <c r="P257" s="73"/>
      <c r="Q257" s="73"/>
      <c r="R257" s="73"/>
      <c r="S257" s="73"/>
      <c r="T257" s="73"/>
      <c r="U257" s="74"/>
    </row>
    <row r="258" spans="2:21" s="15" customFormat="1" x14ac:dyDescent="0.25">
      <c r="B258" s="72" t="s">
        <v>3537</v>
      </c>
      <c r="C258" s="73"/>
      <c r="D258" s="73"/>
      <c r="E258" s="73"/>
      <c r="F258" s="73"/>
      <c r="G258" s="73"/>
      <c r="H258" s="73"/>
      <c r="I258" s="73"/>
      <c r="J258" s="73"/>
      <c r="K258" s="73"/>
      <c r="L258" s="73"/>
      <c r="M258" s="73"/>
      <c r="N258" s="73"/>
      <c r="O258" s="73"/>
      <c r="P258" s="73"/>
      <c r="Q258" s="73"/>
      <c r="R258" s="73"/>
      <c r="S258" s="73"/>
      <c r="T258" s="73"/>
      <c r="U258" s="74"/>
    </row>
    <row r="259" spans="2:21" s="15" customFormat="1" x14ac:dyDescent="0.25">
      <c r="B259" s="72" t="s">
        <v>3570</v>
      </c>
      <c r="C259" s="73"/>
      <c r="D259" s="73"/>
      <c r="E259" s="73"/>
      <c r="F259" s="73"/>
      <c r="G259" s="73"/>
      <c r="H259" s="73"/>
      <c r="I259" s="73"/>
      <c r="J259" s="73"/>
      <c r="K259" s="73"/>
      <c r="L259" s="73"/>
      <c r="M259" s="73"/>
      <c r="N259" s="73"/>
      <c r="O259" s="73"/>
      <c r="P259" s="73"/>
      <c r="Q259" s="73"/>
      <c r="R259" s="73"/>
      <c r="S259" s="73"/>
      <c r="T259" s="73"/>
      <c r="U259" s="74"/>
    </row>
    <row r="260" spans="2:21" s="15" customFormat="1" x14ac:dyDescent="0.25">
      <c r="B260" s="72" t="s">
        <v>3571</v>
      </c>
      <c r="C260" s="73"/>
      <c r="D260" s="73"/>
      <c r="E260" s="73"/>
      <c r="F260" s="73"/>
      <c r="G260" s="73"/>
      <c r="H260" s="73"/>
      <c r="I260" s="73"/>
      <c r="J260" s="73"/>
      <c r="K260" s="73"/>
      <c r="L260" s="73"/>
      <c r="M260" s="73"/>
      <c r="N260" s="73"/>
      <c r="O260" s="73"/>
      <c r="P260" s="73"/>
      <c r="Q260" s="73"/>
      <c r="R260" s="73"/>
      <c r="S260" s="73"/>
      <c r="T260" s="73"/>
      <c r="U260" s="74"/>
    </row>
    <row r="261" spans="2:21" s="15" customFormat="1" x14ac:dyDescent="0.25">
      <c r="B261" s="72" t="s">
        <v>3181</v>
      </c>
      <c r="C261" s="73"/>
      <c r="D261" s="73"/>
      <c r="E261" s="73"/>
      <c r="F261" s="73"/>
      <c r="G261" s="73"/>
      <c r="H261" s="73"/>
      <c r="I261" s="73"/>
      <c r="J261" s="73"/>
      <c r="K261" s="73"/>
      <c r="L261" s="73"/>
      <c r="M261" s="73"/>
      <c r="N261" s="73"/>
      <c r="O261" s="73"/>
      <c r="P261" s="73"/>
      <c r="Q261" s="73"/>
      <c r="R261" s="73"/>
      <c r="S261" s="73"/>
      <c r="T261" s="73"/>
      <c r="U261" s="74"/>
    </row>
    <row r="262" spans="2:21" s="15" customFormat="1" x14ac:dyDescent="0.25">
      <c r="B262" s="72" t="s">
        <v>3085</v>
      </c>
      <c r="C262" s="73"/>
      <c r="D262" s="73"/>
      <c r="E262" s="73"/>
      <c r="F262" s="73"/>
      <c r="G262" s="73"/>
      <c r="H262" s="73"/>
      <c r="I262" s="73"/>
      <c r="J262" s="73"/>
      <c r="K262" s="73"/>
      <c r="L262" s="73"/>
      <c r="M262" s="73"/>
      <c r="N262" s="73"/>
      <c r="O262" s="73"/>
      <c r="P262" s="73"/>
      <c r="Q262" s="73"/>
      <c r="R262" s="73"/>
      <c r="S262" s="73"/>
      <c r="T262" s="73"/>
      <c r="U262" s="74"/>
    </row>
    <row r="263" spans="2:21" s="15" customFormat="1" x14ac:dyDescent="0.25">
      <c r="B263" s="72" t="s">
        <v>3566</v>
      </c>
      <c r="C263" s="73"/>
      <c r="D263" s="73"/>
      <c r="E263" s="73"/>
      <c r="F263" s="73"/>
      <c r="G263" s="73"/>
      <c r="H263" s="73"/>
      <c r="I263" s="73"/>
      <c r="J263" s="73"/>
      <c r="K263" s="73"/>
      <c r="L263" s="73"/>
      <c r="M263" s="73"/>
      <c r="N263" s="73"/>
      <c r="O263" s="73"/>
      <c r="P263" s="73"/>
      <c r="Q263" s="73"/>
      <c r="R263" s="73"/>
      <c r="S263" s="73"/>
      <c r="T263" s="73"/>
      <c r="U263" s="74"/>
    </row>
    <row r="264" spans="2:21" s="15" customFormat="1" x14ac:dyDescent="0.25">
      <c r="B264" s="72" t="s">
        <v>3563</v>
      </c>
      <c r="C264" s="73"/>
      <c r="D264" s="73"/>
      <c r="E264" s="73"/>
      <c r="F264" s="73"/>
      <c r="G264" s="73"/>
      <c r="H264" s="73"/>
      <c r="I264" s="73"/>
      <c r="J264" s="73"/>
      <c r="K264" s="73"/>
      <c r="L264" s="73"/>
      <c r="M264" s="73"/>
      <c r="N264" s="73"/>
      <c r="O264" s="73"/>
      <c r="P264" s="73"/>
      <c r="Q264" s="73"/>
      <c r="R264" s="73"/>
      <c r="S264" s="73"/>
      <c r="T264" s="73"/>
      <c r="U264" s="74"/>
    </row>
    <row r="265" spans="2:21" s="15" customFormat="1" x14ac:dyDescent="0.25">
      <c r="B265" s="72" t="s">
        <v>3529</v>
      </c>
      <c r="C265" s="73"/>
      <c r="D265" s="73"/>
      <c r="E265" s="73"/>
      <c r="F265" s="73"/>
      <c r="G265" s="73"/>
      <c r="H265" s="73"/>
      <c r="I265" s="73"/>
      <c r="J265" s="73"/>
      <c r="K265" s="73"/>
      <c r="L265" s="73"/>
      <c r="M265" s="73"/>
      <c r="N265" s="73"/>
      <c r="O265" s="73"/>
      <c r="P265" s="73"/>
      <c r="Q265" s="73"/>
      <c r="R265" s="73"/>
      <c r="S265" s="73"/>
      <c r="T265" s="73"/>
      <c r="U265" s="74"/>
    </row>
    <row r="266" spans="2:21" s="15" customFormat="1" x14ac:dyDescent="0.25">
      <c r="B266" s="72" t="s">
        <v>3183</v>
      </c>
      <c r="C266" s="73"/>
      <c r="D266" s="73"/>
      <c r="E266" s="73"/>
      <c r="F266" s="73"/>
      <c r="G266" s="73"/>
      <c r="H266" s="73"/>
      <c r="I266" s="73"/>
      <c r="J266" s="73"/>
      <c r="K266" s="73"/>
      <c r="L266" s="73"/>
      <c r="M266" s="73"/>
      <c r="N266" s="73"/>
      <c r="O266" s="73"/>
      <c r="P266" s="73"/>
      <c r="Q266" s="73"/>
      <c r="R266" s="73"/>
      <c r="S266" s="73"/>
      <c r="T266" s="73"/>
      <c r="U266" s="74"/>
    </row>
    <row r="267" spans="2:21" s="15" customFormat="1" x14ac:dyDescent="0.25">
      <c r="B267" s="72" t="s">
        <v>3572</v>
      </c>
      <c r="C267" s="73"/>
      <c r="D267" s="73"/>
      <c r="E267" s="73"/>
      <c r="F267" s="73"/>
      <c r="G267" s="73"/>
      <c r="H267" s="73"/>
      <c r="I267" s="73"/>
      <c r="J267" s="73"/>
      <c r="K267" s="73"/>
      <c r="L267" s="73"/>
      <c r="M267" s="73"/>
      <c r="N267" s="73"/>
      <c r="O267" s="73"/>
      <c r="P267" s="73"/>
      <c r="Q267" s="73"/>
      <c r="R267" s="73"/>
      <c r="S267" s="73"/>
      <c r="T267" s="73"/>
      <c r="U267" s="74"/>
    </row>
    <row r="268" spans="2:21" s="15" customFormat="1" x14ac:dyDescent="0.25">
      <c r="B268" s="72" t="s">
        <v>3083</v>
      </c>
      <c r="C268" s="73"/>
      <c r="D268" s="73"/>
      <c r="E268" s="73"/>
      <c r="F268" s="73"/>
      <c r="G268" s="73"/>
      <c r="H268" s="73"/>
      <c r="I268" s="73"/>
      <c r="J268" s="73"/>
      <c r="K268" s="73"/>
      <c r="L268" s="73"/>
      <c r="M268" s="73"/>
      <c r="N268" s="73"/>
      <c r="O268" s="73"/>
      <c r="P268" s="73"/>
      <c r="Q268" s="73"/>
      <c r="R268" s="73"/>
      <c r="S268" s="73"/>
      <c r="T268" s="73"/>
      <c r="U268" s="74"/>
    </row>
    <row r="269" spans="2:21" s="15" customFormat="1" x14ac:dyDescent="0.25">
      <c r="B269" s="72" t="s">
        <v>3093</v>
      </c>
      <c r="C269" s="73"/>
      <c r="D269" s="73"/>
      <c r="E269" s="73"/>
      <c r="F269" s="73"/>
      <c r="G269" s="73"/>
      <c r="H269" s="73"/>
      <c r="I269" s="73"/>
      <c r="J269" s="73"/>
      <c r="K269" s="73"/>
      <c r="L269" s="73"/>
      <c r="M269" s="73"/>
      <c r="N269" s="73"/>
      <c r="O269" s="73"/>
      <c r="P269" s="73"/>
      <c r="Q269" s="73"/>
      <c r="R269" s="73"/>
      <c r="S269" s="73"/>
      <c r="T269" s="73"/>
      <c r="U269" s="74"/>
    </row>
    <row r="270" spans="2:21" s="15" customFormat="1" x14ac:dyDescent="0.25">
      <c r="B270" s="72" t="s">
        <v>3573</v>
      </c>
      <c r="C270" s="73"/>
      <c r="D270" s="73"/>
      <c r="E270" s="73"/>
      <c r="F270" s="73"/>
      <c r="G270" s="73"/>
      <c r="H270" s="73"/>
      <c r="I270" s="73"/>
      <c r="J270" s="73"/>
      <c r="K270" s="73"/>
      <c r="L270" s="73"/>
      <c r="M270" s="73"/>
      <c r="N270" s="73"/>
      <c r="O270" s="73"/>
      <c r="P270" s="73"/>
      <c r="Q270" s="73"/>
      <c r="R270" s="73"/>
      <c r="S270" s="73"/>
      <c r="T270" s="73"/>
      <c r="U270" s="74"/>
    </row>
    <row r="271" spans="2:21" s="15" customFormat="1" x14ac:dyDescent="0.25">
      <c r="B271" s="72" t="s">
        <v>3085</v>
      </c>
      <c r="C271" s="73"/>
      <c r="D271" s="73"/>
      <c r="E271" s="73"/>
      <c r="F271" s="73"/>
      <c r="G271" s="73"/>
      <c r="H271" s="73"/>
      <c r="I271" s="73"/>
      <c r="J271" s="73"/>
      <c r="K271" s="73"/>
      <c r="L271" s="73"/>
      <c r="M271" s="73"/>
      <c r="N271" s="73"/>
      <c r="O271" s="73"/>
      <c r="P271" s="73"/>
      <c r="Q271" s="73"/>
      <c r="R271" s="73"/>
      <c r="S271" s="73"/>
      <c r="T271" s="73"/>
      <c r="U271" s="74"/>
    </row>
    <row r="272" spans="2:21" s="15" customFormat="1" x14ac:dyDescent="0.25">
      <c r="B272" s="72" t="s">
        <v>3537</v>
      </c>
      <c r="C272" s="73"/>
      <c r="D272" s="73"/>
      <c r="E272" s="73"/>
      <c r="F272" s="73"/>
      <c r="G272" s="73"/>
      <c r="H272" s="73"/>
      <c r="I272" s="73"/>
      <c r="J272" s="73"/>
      <c r="K272" s="73"/>
      <c r="L272" s="73"/>
      <c r="M272" s="73"/>
      <c r="N272" s="73"/>
      <c r="O272" s="73"/>
      <c r="P272" s="73"/>
      <c r="Q272" s="73"/>
      <c r="R272" s="73"/>
      <c r="S272" s="73"/>
      <c r="T272" s="73"/>
      <c r="U272" s="74"/>
    </row>
    <row r="273" spans="2:21" s="15" customFormat="1" x14ac:dyDescent="0.25">
      <c r="B273" s="72" t="s">
        <v>3574</v>
      </c>
      <c r="C273" s="73"/>
      <c r="D273" s="73"/>
      <c r="E273" s="73"/>
      <c r="F273" s="73"/>
      <c r="G273" s="73"/>
      <c r="H273" s="73"/>
      <c r="I273" s="73"/>
      <c r="J273" s="73"/>
      <c r="K273" s="73"/>
      <c r="L273" s="73"/>
      <c r="M273" s="73"/>
      <c r="N273" s="73"/>
      <c r="O273" s="73"/>
      <c r="P273" s="73"/>
      <c r="Q273" s="73"/>
      <c r="R273" s="73"/>
      <c r="S273" s="73"/>
      <c r="T273" s="73"/>
      <c r="U273" s="74"/>
    </row>
    <row r="274" spans="2:21" s="15" customFormat="1" x14ac:dyDescent="0.25">
      <c r="B274" s="72" t="s">
        <v>3575</v>
      </c>
      <c r="C274" s="73"/>
      <c r="D274" s="73"/>
      <c r="E274" s="73"/>
      <c r="F274" s="73"/>
      <c r="G274" s="73"/>
      <c r="H274" s="73"/>
      <c r="I274" s="73"/>
      <c r="J274" s="73"/>
      <c r="K274" s="73"/>
      <c r="L274" s="73"/>
      <c r="M274" s="73"/>
      <c r="N274" s="73"/>
      <c r="O274" s="73"/>
      <c r="P274" s="73"/>
      <c r="Q274" s="73"/>
      <c r="R274" s="73"/>
      <c r="S274" s="73"/>
      <c r="T274" s="73"/>
      <c r="U274" s="74"/>
    </row>
    <row r="275" spans="2:21" s="15" customFormat="1" x14ac:dyDescent="0.25">
      <c r="B275" s="72" t="s">
        <v>3576</v>
      </c>
      <c r="C275" s="73"/>
      <c r="D275" s="73"/>
      <c r="E275" s="73"/>
      <c r="F275" s="73"/>
      <c r="G275" s="73"/>
      <c r="H275" s="73"/>
      <c r="I275" s="73"/>
      <c r="J275" s="73"/>
      <c r="K275" s="73"/>
      <c r="L275" s="73"/>
      <c r="M275" s="73"/>
      <c r="N275" s="73"/>
      <c r="O275" s="73"/>
      <c r="P275" s="73"/>
      <c r="Q275" s="73"/>
      <c r="R275" s="73"/>
      <c r="S275" s="73"/>
      <c r="T275" s="73"/>
      <c r="U275" s="74"/>
    </row>
    <row r="276" spans="2:21" s="15" customFormat="1" x14ac:dyDescent="0.25">
      <c r="B276" s="72" t="s">
        <v>3577</v>
      </c>
      <c r="C276" s="73"/>
      <c r="D276" s="73"/>
      <c r="E276" s="73"/>
      <c r="F276" s="73"/>
      <c r="G276" s="73"/>
      <c r="H276" s="73"/>
      <c r="I276" s="73"/>
      <c r="J276" s="73"/>
      <c r="K276" s="73"/>
      <c r="L276" s="73"/>
      <c r="M276" s="73"/>
      <c r="N276" s="73"/>
      <c r="O276" s="73"/>
      <c r="P276" s="73"/>
      <c r="Q276" s="73"/>
      <c r="R276" s="73"/>
      <c r="S276" s="73"/>
      <c r="T276" s="73"/>
      <c r="U276" s="74"/>
    </row>
    <row r="277" spans="2:21" s="15" customFormat="1" x14ac:dyDescent="0.25">
      <c r="B277" s="72" t="s">
        <v>3578</v>
      </c>
      <c r="C277" s="73"/>
      <c r="D277" s="73"/>
      <c r="E277" s="73"/>
      <c r="F277" s="73"/>
      <c r="G277" s="73"/>
      <c r="H277" s="73"/>
      <c r="I277" s="73"/>
      <c r="J277" s="73"/>
      <c r="K277" s="73"/>
      <c r="L277" s="73"/>
      <c r="M277" s="73"/>
      <c r="N277" s="73"/>
      <c r="O277" s="73"/>
      <c r="P277" s="73"/>
      <c r="Q277" s="73"/>
      <c r="R277" s="73"/>
      <c r="S277" s="73"/>
      <c r="T277" s="73"/>
      <c r="U277" s="74"/>
    </row>
    <row r="278" spans="2:21" s="15" customFormat="1" x14ac:dyDescent="0.25">
      <c r="B278" s="72" t="s">
        <v>3579</v>
      </c>
      <c r="C278" s="73"/>
      <c r="D278" s="73"/>
      <c r="E278" s="73"/>
      <c r="F278" s="73"/>
      <c r="G278" s="73"/>
      <c r="H278" s="73"/>
      <c r="I278" s="73"/>
      <c r="J278" s="73"/>
      <c r="K278" s="73"/>
      <c r="L278" s="73"/>
      <c r="M278" s="73"/>
      <c r="N278" s="73"/>
      <c r="O278" s="73"/>
      <c r="P278" s="73"/>
      <c r="Q278" s="73"/>
      <c r="R278" s="73"/>
      <c r="S278" s="73"/>
      <c r="T278" s="73"/>
      <c r="U278" s="74"/>
    </row>
    <row r="279" spans="2:21" s="15" customFormat="1" x14ac:dyDescent="0.25">
      <c r="B279" s="72" t="s">
        <v>3580</v>
      </c>
      <c r="C279" s="73"/>
      <c r="D279" s="73"/>
      <c r="E279" s="73"/>
      <c r="F279" s="73"/>
      <c r="G279" s="73"/>
      <c r="H279" s="73"/>
      <c r="I279" s="73"/>
      <c r="J279" s="73"/>
      <c r="K279" s="73"/>
      <c r="L279" s="73"/>
      <c r="M279" s="73"/>
      <c r="N279" s="73"/>
      <c r="O279" s="73"/>
      <c r="P279" s="73"/>
      <c r="Q279" s="73"/>
      <c r="R279" s="73"/>
      <c r="S279" s="73"/>
      <c r="T279" s="73"/>
      <c r="U279" s="74"/>
    </row>
    <row r="280" spans="2:21" s="15" customFormat="1" x14ac:dyDescent="0.25">
      <c r="B280" s="72" t="s">
        <v>3581</v>
      </c>
      <c r="C280" s="73"/>
      <c r="D280" s="73"/>
      <c r="E280" s="73"/>
      <c r="F280" s="73"/>
      <c r="G280" s="73"/>
      <c r="H280" s="73"/>
      <c r="I280" s="73"/>
      <c r="J280" s="73"/>
      <c r="K280" s="73"/>
      <c r="L280" s="73"/>
      <c r="M280" s="73"/>
      <c r="N280" s="73"/>
      <c r="O280" s="73"/>
      <c r="P280" s="73"/>
      <c r="Q280" s="73"/>
      <c r="R280" s="73"/>
      <c r="S280" s="73"/>
      <c r="T280" s="73"/>
      <c r="U280" s="74"/>
    </row>
    <row r="281" spans="2:21" s="15" customFormat="1" x14ac:dyDescent="0.25">
      <c r="B281" s="72" t="s">
        <v>3146</v>
      </c>
      <c r="C281" s="73"/>
      <c r="D281" s="73"/>
      <c r="E281" s="73"/>
      <c r="F281" s="73"/>
      <c r="G281" s="73"/>
      <c r="H281" s="73"/>
      <c r="I281" s="73"/>
      <c r="J281" s="73"/>
      <c r="K281" s="73"/>
      <c r="L281" s="73"/>
      <c r="M281" s="73"/>
      <c r="N281" s="73"/>
      <c r="O281" s="73"/>
      <c r="P281" s="73"/>
      <c r="Q281" s="73"/>
      <c r="R281" s="73"/>
      <c r="S281" s="73"/>
      <c r="T281" s="73"/>
      <c r="U281" s="74"/>
    </row>
    <row r="282" spans="2:21" s="15" customFormat="1" x14ac:dyDescent="0.25">
      <c r="B282" s="72" t="s">
        <v>3582</v>
      </c>
      <c r="C282" s="73"/>
      <c r="D282" s="73"/>
      <c r="E282" s="73"/>
      <c r="F282" s="73"/>
      <c r="G282" s="73"/>
      <c r="H282" s="73"/>
      <c r="I282" s="73"/>
      <c r="J282" s="73"/>
      <c r="K282" s="73"/>
      <c r="L282" s="73"/>
      <c r="M282" s="73"/>
      <c r="N282" s="73"/>
      <c r="O282" s="73"/>
      <c r="P282" s="73"/>
      <c r="Q282" s="73"/>
      <c r="R282" s="73"/>
      <c r="S282" s="73"/>
      <c r="T282" s="73"/>
      <c r="U282" s="74"/>
    </row>
    <row r="283" spans="2:21" s="15" customFormat="1" x14ac:dyDescent="0.25">
      <c r="B283" s="72" t="s">
        <v>3583</v>
      </c>
      <c r="C283" s="73"/>
      <c r="D283" s="73"/>
      <c r="E283" s="73"/>
      <c r="F283" s="73"/>
      <c r="G283" s="73"/>
      <c r="H283" s="73"/>
      <c r="I283" s="73"/>
      <c r="J283" s="73"/>
      <c r="K283" s="73"/>
      <c r="L283" s="73"/>
      <c r="M283" s="73"/>
      <c r="N283" s="73"/>
      <c r="O283" s="73"/>
      <c r="P283" s="73"/>
      <c r="Q283" s="73"/>
      <c r="R283" s="73"/>
      <c r="S283" s="73"/>
      <c r="T283" s="73"/>
      <c r="U283" s="74"/>
    </row>
    <row r="284" spans="2:21" s="15" customFormat="1" x14ac:dyDescent="0.25">
      <c r="B284" s="72" t="s">
        <v>3181</v>
      </c>
      <c r="C284" s="73"/>
      <c r="D284" s="73"/>
      <c r="E284" s="73"/>
      <c r="F284" s="73"/>
      <c r="G284" s="73"/>
      <c r="H284" s="73"/>
      <c r="I284" s="73"/>
      <c r="J284" s="73"/>
      <c r="K284" s="73"/>
      <c r="L284" s="73"/>
      <c r="M284" s="73"/>
      <c r="N284" s="73"/>
      <c r="O284" s="73"/>
      <c r="P284" s="73"/>
      <c r="Q284" s="73"/>
      <c r="R284" s="73"/>
      <c r="S284" s="73"/>
      <c r="T284" s="73"/>
      <c r="U284" s="74"/>
    </row>
    <row r="285" spans="2:21" s="15" customFormat="1" x14ac:dyDescent="0.25">
      <c r="B285" s="72" t="s">
        <v>3085</v>
      </c>
      <c r="C285" s="73"/>
      <c r="D285" s="73"/>
      <c r="E285" s="73"/>
      <c r="F285" s="73"/>
      <c r="G285" s="73"/>
      <c r="H285" s="73"/>
      <c r="I285" s="73"/>
      <c r="J285" s="73"/>
      <c r="K285" s="73"/>
      <c r="L285" s="73"/>
      <c r="M285" s="73"/>
      <c r="N285" s="73"/>
      <c r="O285" s="73"/>
      <c r="P285" s="73"/>
      <c r="Q285" s="73"/>
      <c r="R285" s="73"/>
      <c r="S285" s="73"/>
      <c r="T285" s="73"/>
      <c r="U285" s="74"/>
    </row>
    <row r="286" spans="2:21" s="15" customFormat="1" x14ac:dyDescent="0.25">
      <c r="B286" s="72" t="s">
        <v>3563</v>
      </c>
      <c r="C286" s="73"/>
      <c r="D286" s="73"/>
      <c r="E286" s="73"/>
      <c r="F286" s="73"/>
      <c r="G286" s="73"/>
      <c r="H286" s="73"/>
      <c r="I286" s="73"/>
      <c r="J286" s="73"/>
      <c r="K286" s="73"/>
      <c r="L286" s="73"/>
      <c r="M286" s="73"/>
      <c r="N286" s="73"/>
      <c r="O286" s="73"/>
      <c r="P286" s="73"/>
      <c r="Q286" s="73"/>
      <c r="R286" s="73"/>
      <c r="S286" s="73"/>
      <c r="T286" s="73"/>
      <c r="U286" s="74"/>
    </row>
    <row r="287" spans="2:21" s="15" customFormat="1" x14ac:dyDescent="0.25">
      <c r="B287" s="72" t="s">
        <v>3529</v>
      </c>
      <c r="C287" s="73"/>
      <c r="D287" s="73"/>
      <c r="E287" s="73"/>
      <c r="F287" s="73"/>
      <c r="G287" s="73"/>
      <c r="H287" s="73"/>
      <c r="I287" s="73"/>
      <c r="J287" s="73"/>
      <c r="K287" s="73"/>
      <c r="L287" s="73"/>
      <c r="M287" s="73"/>
      <c r="N287" s="73"/>
      <c r="O287" s="73"/>
      <c r="P287" s="73"/>
      <c r="Q287" s="73"/>
      <c r="R287" s="73"/>
      <c r="S287" s="73"/>
      <c r="T287" s="73"/>
      <c r="U287" s="74"/>
    </row>
    <row r="288" spans="2:21" s="15" customFormat="1" x14ac:dyDescent="0.25">
      <c r="B288" s="72" t="s">
        <v>3203</v>
      </c>
      <c r="C288" s="73"/>
      <c r="D288" s="73"/>
      <c r="E288" s="73"/>
      <c r="F288" s="73"/>
      <c r="G288" s="73"/>
      <c r="H288" s="73"/>
      <c r="I288" s="73"/>
      <c r="J288" s="73"/>
      <c r="K288" s="73"/>
      <c r="L288" s="73"/>
      <c r="M288" s="73"/>
      <c r="N288" s="73"/>
      <c r="O288" s="73"/>
      <c r="P288" s="73"/>
      <c r="Q288" s="73"/>
      <c r="R288" s="73"/>
      <c r="S288" s="73"/>
      <c r="T288" s="73"/>
      <c r="U288" s="74"/>
    </row>
    <row r="289" spans="2:21" s="15" customFormat="1" x14ac:dyDescent="0.25">
      <c r="B289" s="72" t="s">
        <v>3572</v>
      </c>
      <c r="C289" s="73"/>
      <c r="D289" s="73"/>
      <c r="E289" s="73"/>
      <c r="F289" s="73"/>
      <c r="G289" s="73"/>
      <c r="H289" s="73"/>
      <c r="I289" s="73"/>
      <c r="J289" s="73"/>
      <c r="K289" s="73"/>
      <c r="L289" s="73"/>
      <c r="M289" s="73"/>
      <c r="N289" s="73"/>
      <c r="O289" s="73"/>
      <c r="P289" s="73"/>
      <c r="Q289" s="73"/>
      <c r="R289" s="73"/>
      <c r="S289" s="73"/>
      <c r="T289" s="73"/>
      <c r="U289" s="74"/>
    </row>
    <row r="290" spans="2:21" s="15" customFormat="1" x14ac:dyDescent="0.25">
      <c r="B290" s="72" t="s">
        <v>3181</v>
      </c>
      <c r="C290" s="73"/>
      <c r="D290" s="73"/>
      <c r="E290" s="73"/>
      <c r="F290" s="73"/>
      <c r="G290" s="73"/>
      <c r="H290" s="73"/>
      <c r="I290" s="73"/>
      <c r="J290" s="73"/>
      <c r="K290" s="73"/>
      <c r="L290" s="73"/>
      <c r="M290" s="73"/>
      <c r="N290" s="73"/>
      <c r="O290" s="73"/>
      <c r="P290" s="73"/>
      <c r="Q290" s="73"/>
      <c r="R290" s="73"/>
      <c r="S290" s="73"/>
      <c r="T290" s="73"/>
      <c r="U290" s="74"/>
    </row>
    <row r="291" spans="2:21" s="15" customFormat="1" x14ac:dyDescent="0.25">
      <c r="B291" s="72" t="s">
        <v>3085</v>
      </c>
      <c r="C291" s="73"/>
      <c r="D291" s="73"/>
      <c r="E291" s="73"/>
      <c r="F291" s="73"/>
      <c r="G291" s="73"/>
      <c r="H291" s="73"/>
      <c r="I291" s="73"/>
      <c r="J291" s="73"/>
      <c r="K291" s="73"/>
      <c r="L291" s="73"/>
      <c r="M291" s="73"/>
      <c r="N291" s="73"/>
      <c r="O291" s="73"/>
      <c r="P291" s="73"/>
      <c r="Q291" s="73"/>
      <c r="R291" s="73"/>
      <c r="S291" s="73"/>
      <c r="T291" s="73"/>
      <c r="U291" s="74"/>
    </row>
    <row r="292" spans="2:21" s="15" customFormat="1" x14ac:dyDescent="0.25">
      <c r="B292" s="72" t="s">
        <v>3563</v>
      </c>
      <c r="C292" s="73"/>
      <c r="D292" s="73"/>
      <c r="E292" s="73"/>
      <c r="F292" s="73"/>
      <c r="G292" s="73"/>
      <c r="H292" s="73"/>
      <c r="I292" s="73"/>
      <c r="J292" s="73"/>
      <c r="K292" s="73"/>
      <c r="L292" s="73"/>
      <c r="M292" s="73"/>
      <c r="N292" s="73"/>
      <c r="O292" s="73"/>
      <c r="P292" s="73"/>
      <c r="Q292" s="73"/>
      <c r="R292" s="73"/>
      <c r="S292" s="73"/>
      <c r="T292" s="73"/>
      <c r="U292" s="74"/>
    </row>
    <row r="293" spans="2:21" s="15" customFormat="1" x14ac:dyDescent="0.25">
      <c r="B293" s="72" t="s">
        <v>3531</v>
      </c>
      <c r="C293" s="73"/>
      <c r="D293" s="73"/>
      <c r="E293" s="73"/>
      <c r="F293" s="73"/>
      <c r="G293" s="73"/>
      <c r="H293" s="73"/>
      <c r="I293" s="73"/>
      <c r="J293" s="73"/>
      <c r="K293" s="73"/>
      <c r="L293" s="73"/>
      <c r="M293" s="73"/>
      <c r="N293" s="73"/>
      <c r="O293" s="73"/>
      <c r="P293" s="73"/>
      <c r="Q293" s="73"/>
      <c r="R293" s="73"/>
      <c r="S293" s="73"/>
      <c r="T293" s="73"/>
      <c r="U293" s="74"/>
    </row>
    <row r="294" spans="2:21" s="15" customFormat="1" x14ac:dyDescent="0.25">
      <c r="B294" s="72" t="s">
        <v>3203</v>
      </c>
      <c r="C294" s="73"/>
      <c r="D294" s="73"/>
      <c r="E294" s="73"/>
      <c r="F294" s="73"/>
      <c r="G294" s="73"/>
      <c r="H294" s="73"/>
      <c r="I294" s="73"/>
      <c r="J294" s="73"/>
      <c r="K294" s="73"/>
      <c r="L294" s="73"/>
      <c r="M294" s="73"/>
      <c r="N294" s="73"/>
      <c r="O294" s="73"/>
      <c r="P294" s="73"/>
      <c r="Q294" s="73"/>
      <c r="R294" s="73"/>
      <c r="S294" s="73"/>
      <c r="T294" s="73"/>
      <c r="U294" s="74"/>
    </row>
    <row r="295" spans="2:21" s="15" customFormat="1" x14ac:dyDescent="0.25">
      <c r="B295" s="72" t="s">
        <v>3584</v>
      </c>
      <c r="C295" s="73"/>
      <c r="D295" s="73"/>
      <c r="E295" s="73"/>
      <c r="F295" s="73"/>
      <c r="G295" s="73"/>
      <c r="H295" s="73"/>
      <c r="I295" s="73"/>
      <c r="J295" s="73"/>
      <c r="K295" s="73"/>
      <c r="L295" s="73"/>
      <c r="M295" s="73"/>
      <c r="N295" s="73"/>
      <c r="O295" s="73"/>
      <c r="P295" s="73"/>
      <c r="Q295" s="73"/>
      <c r="R295" s="73"/>
      <c r="S295" s="73"/>
      <c r="T295" s="73"/>
      <c r="U295" s="74"/>
    </row>
    <row r="296" spans="2:21" s="15" customFormat="1" x14ac:dyDescent="0.25">
      <c r="B296" s="72" t="s">
        <v>3083</v>
      </c>
      <c r="C296" s="73"/>
      <c r="D296" s="73"/>
      <c r="E296" s="73"/>
      <c r="F296" s="73"/>
      <c r="G296" s="73"/>
      <c r="H296" s="73"/>
      <c r="I296" s="73"/>
      <c r="J296" s="73"/>
      <c r="K296" s="73"/>
      <c r="L296" s="73"/>
      <c r="M296" s="73"/>
      <c r="N296" s="73"/>
      <c r="O296" s="73"/>
      <c r="P296" s="73"/>
      <c r="Q296" s="73"/>
      <c r="R296" s="73"/>
      <c r="S296" s="73"/>
      <c r="T296" s="73"/>
      <c r="U296" s="74"/>
    </row>
    <row r="297" spans="2:21" s="15" customFormat="1" x14ac:dyDescent="0.25">
      <c r="B297" s="72" t="s">
        <v>3208</v>
      </c>
      <c r="C297" s="73"/>
      <c r="D297" s="73"/>
      <c r="E297" s="73"/>
      <c r="F297" s="73"/>
      <c r="G297" s="73"/>
      <c r="H297" s="73"/>
      <c r="I297" s="73"/>
      <c r="J297" s="73"/>
      <c r="K297" s="73"/>
      <c r="L297" s="73"/>
      <c r="M297" s="73"/>
      <c r="N297" s="73"/>
      <c r="O297" s="73"/>
      <c r="P297" s="73"/>
      <c r="Q297" s="73"/>
      <c r="R297" s="73"/>
      <c r="S297" s="73"/>
      <c r="T297" s="73"/>
      <c r="U297" s="74"/>
    </row>
    <row r="298" spans="2:21" s="15" customFormat="1" x14ac:dyDescent="0.25">
      <c r="B298" s="72" t="s">
        <v>3322</v>
      </c>
      <c r="C298" s="73"/>
      <c r="D298" s="73"/>
      <c r="E298" s="73"/>
      <c r="F298" s="73"/>
      <c r="G298" s="73"/>
      <c r="H298" s="73"/>
      <c r="I298" s="73"/>
      <c r="J298" s="73"/>
      <c r="K298" s="73"/>
      <c r="L298" s="73"/>
      <c r="M298" s="73"/>
      <c r="N298" s="73"/>
      <c r="O298" s="73"/>
      <c r="P298" s="73"/>
      <c r="Q298" s="73"/>
      <c r="R298" s="73"/>
      <c r="S298" s="73"/>
      <c r="T298" s="73"/>
      <c r="U298" s="74"/>
    </row>
    <row r="299" spans="2:21" s="15" customFormat="1" x14ac:dyDescent="0.25">
      <c r="B299" s="72" t="s">
        <v>3050</v>
      </c>
      <c r="C299" s="73"/>
      <c r="D299" s="73"/>
      <c r="E299" s="73"/>
      <c r="F299" s="73"/>
      <c r="G299" s="73"/>
      <c r="H299" s="73"/>
      <c r="I299" s="73"/>
      <c r="J299" s="73"/>
      <c r="K299" s="73"/>
      <c r="L299" s="73"/>
      <c r="M299" s="73"/>
      <c r="N299" s="73"/>
      <c r="O299" s="73"/>
      <c r="P299" s="73"/>
      <c r="Q299" s="73"/>
      <c r="R299" s="73"/>
      <c r="S299" s="73"/>
      <c r="T299" s="73"/>
      <c r="U299" s="74"/>
    </row>
    <row r="300" spans="2:21" s="15" customFormat="1" x14ac:dyDescent="0.25">
      <c r="B300" s="72" t="s">
        <v>3051</v>
      </c>
      <c r="C300" s="73"/>
      <c r="D300" s="73"/>
      <c r="E300" s="73"/>
      <c r="F300" s="73"/>
      <c r="G300" s="73"/>
      <c r="H300" s="73"/>
      <c r="I300" s="73"/>
      <c r="J300" s="73"/>
      <c r="K300" s="73"/>
      <c r="L300" s="73"/>
      <c r="M300" s="73"/>
      <c r="N300" s="73"/>
      <c r="O300" s="73"/>
      <c r="P300" s="73"/>
      <c r="Q300" s="73"/>
      <c r="R300" s="73"/>
      <c r="S300" s="73"/>
      <c r="T300" s="73"/>
      <c r="U300" s="74"/>
    </row>
    <row r="301" spans="2:21" s="15" customFormat="1" x14ac:dyDescent="0.25">
      <c r="B301" s="72" t="s">
        <v>3052</v>
      </c>
      <c r="C301" s="73"/>
      <c r="D301" s="73"/>
      <c r="E301" s="73"/>
      <c r="F301" s="73"/>
      <c r="G301" s="73"/>
      <c r="H301" s="73"/>
      <c r="I301" s="73"/>
      <c r="J301" s="73"/>
      <c r="K301" s="73"/>
      <c r="L301" s="73"/>
      <c r="M301" s="73"/>
      <c r="N301" s="73"/>
      <c r="O301" s="73"/>
      <c r="P301" s="73"/>
      <c r="Q301" s="73"/>
      <c r="R301" s="73"/>
      <c r="S301" s="73"/>
      <c r="T301" s="73"/>
      <c r="U301" s="74"/>
    </row>
    <row r="302" spans="2:21" s="15" customFormat="1" x14ac:dyDescent="0.25">
      <c r="B302" s="72" t="s">
        <v>3585</v>
      </c>
      <c r="C302" s="73"/>
      <c r="D302" s="73"/>
      <c r="E302" s="73"/>
      <c r="F302" s="73"/>
      <c r="G302" s="73"/>
      <c r="H302" s="73"/>
      <c r="I302" s="73"/>
      <c r="J302" s="73"/>
      <c r="K302" s="73"/>
      <c r="L302" s="73"/>
      <c r="M302" s="73"/>
      <c r="N302" s="73"/>
      <c r="O302" s="73"/>
      <c r="P302" s="73"/>
      <c r="Q302" s="73"/>
      <c r="R302" s="73"/>
      <c r="S302" s="73"/>
      <c r="T302" s="73"/>
      <c r="U302" s="74"/>
    </row>
    <row r="303" spans="2:21" s="15" customFormat="1" x14ac:dyDescent="0.25">
      <c r="B303" s="72" t="s">
        <v>3054</v>
      </c>
      <c r="C303" s="73"/>
      <c r="D303" s="73"/>
      <c r="E303" s="73"/>
      <c r="F303" s="73"/>
      <c r="G303" s="73"/>
      <c r="H303" s="73"/>
      <c r="I303" s="73"/>
      <c r="J303" s="73"/>
      <c r="K303" s="73"/>
      <c r="L303" s="73"/>
      <c r="M303" s="73"/>
      <c r="N303" s="73"/>
      <c r="O303" s="73"/>
      <c r="P303" s="73"/>
      <c r="Q303" s="73"/>
      <c r="R303" s="73"/>
      <c r="S303" s="73"/>
      <c r="T303" s="73"/>
      <c r="U303" s="74"/>
    </row>
    <row r="304" spans="2:21" s="15" customFormat="1" x14ac:dyDescent="0.25">
      <c r="B304" s="72" t="s">
        <v>3586</v>
      </c>
      <c r="C304" s="73"/>
      <c r="D304" s="73"/>
      <c r="E304" s="73"/>
      <c r="F304" s="73"/>
      <c r="G304" s="73"/>
      <c r="H304" s="73"/>
      <c r="I304" s="73"/>
      <c r="J304" s="73"/>
      <c r="K304" s="73"/>
      <c r="L304" s="73"/>
      <c r="M304" s="73"/>
      <c r="N304" s="73"/>
      <c r="O304" s="73"/>
      <c r="P304" s="73"/>
      <c r="Q304" s="73"/>
      <c r="R304" s="73"/>
      <c r="S304" s="73"/>
      <c r="T304" s="73"/>
      <c r="U304" s="74"/>
    </row>
    <row r="305" spans="2:21" s="15" customFormat="1" x14ac:dyDescent="0.25">
      <c r="B305" s="72" t="s">
        <v>3420</v>
      </c>
      <c r="C305" s="73"/>
      <c r="D305" s="73"/>
      <c r="E305" s="73"/>
      <c r="F305" s="73"/>
      <c r="G305" s="73"/>
      <c r="H305" s="73"/>
      <c r="I305" s="73"/>
      <c r="J305" s="73"/>
      <c r="K305" s="73"/>
      <c r="L305" s="73"/>
      <c r="M305" s="73"/>
      <c r="N305" s="73"/>
      <c r="O305" s="73"/>
      <c r="P305" s="73"/>
      <c r="Q305" s="73"/>
      <c r="R305" s="73"/>
      <c r="S305" s="73"/>
      <c r="T305" s="73"/>
      <c r="U305" s="74"/>
    </row>
    <row r="306" spans="2:21" s="15" customFormat="1" x14ac:dyDescent="0.25">
      <c r="B306" s="72" t="s">
        <v>3058</v>
      </c>
      <c r="C306" s="73"/>
      <c r="D306" s="73"/>
      <c r="E306" s="73"/>
      <c r="F306" s="73"/>
      <c r="G306" s="73"/>
      <c r="H306" s="73"/>
      <c r="I306" s="73"/>
      <c r="J306" s="73"/>
      <c r="K306" s="73"/>
      <c r="L306" s="73"/>
      <c r="M306" s="73"/>
      <c r="N306" s="73"/>
      <c r="O306" s="73"/>
      <c r="P306" s="73"/>
      <c r="Q306" s="73"/>
      <c r="R306" s="73"/>
      <c r="S306" s="73"/>
      <c r="T306" s="73"/>
      <c r="U306" s="74"/>
    </row>
    <row r="307" spans="2:21" s="15" customFormat="1" x14ac:dyDescent="0.25">
      <c r="B307" s="72" t="s">
        <v>3059</v>
      </c>
      <c r="C307" s="73"/>
      <c r="D307" s="73"/>
      <c r="E307" s="73"/>
      <c r="F307" s="73"/>
      <c r="G307" s="73"/>
      <c r="H307" s="73"/>
      <c r="I307" s="73"/>
      <c r="J307" s="73"/>
      <c r="K307" s="73"/>
      <c r="L307" s="73"/>
      <c r="M307" s="73"/>
      <c r="N307" s="73"/>
      <c r="O307" s="73"/>
      <c r="P307" s="73"/>
      <c r="Q307" s="73"/>
      <c r="R307" s="73"/>
      <c r="S307" s="73"/>
      <c r="T307" s="73"/>
      <c r="U307" s="74"/>
    </row>
    <row r="308" spans="2:21" s="15" customFormat="1" x14ac:dyDescent="0.25">
      <c r="B308" s="72" t="s">
        <v>3587</v>
      </c>
      <c r="C308" s="73"/>
      <c r="D308" s="73"/>
      <c r="E308" s="73"/>
      <c r="F308" s="73"/>
      <c r="G308" s="73"/>
      <c r="H308" s="73"/>
      <c r="I308" s="73"/>
      <c r="J308" s="73"/>
      <c r="K308" s="73"/>
      <c r="L308" s="73"/>
      <c r="M308" s="73"/>
      <c r="N308" s="73"/>
      <c r="O308" s="73"/>
      <c r="P308" s="73"/>
      <c r="Q308" s="73"/>
      <c r="R308" s="73"/>
      <c r="S308" s="73"/>
      <c r="T308" s="73"/>
      <c r="U308" s="74"/>
    </row>
    <row r="309" spans="2:21" s="15" customFormat="1" x14ac:dyDescent="0.25">
      <c r="B309" s="72" t="s">
        <v>3588</v>
      </c>
      <c r="C309" s="73"/>
      <c r="D309" s="73"/>
      <c r="E309" s="73"/>
      <c r="F309" s="73"/>
      <c r="G309" s="73"/>
      <c r="H309" s="73"/>
      <c r="I309" s="73"/>
      <c r="J309" s="73"/>
      <c r="K309" s="73"/>
      <c r="L309" s="73"/>
      <c r="M309" s="73"/>
      <c r="N309" s="73"/>
      <c r="O309" s="73"/>
      <c r="P309" s="73"/>
      <c r="Q309" s="73"/>
      <c r="R309" s="73"/>
      <c r="S309" s="73"/>
      <c r="T309" s="73"/>
      <c r="U309" s="74"/>
    </row>
    <row r="310" spans="2:21" s="15" customFormat="1" x14ac:dyDescent="0.25">
      <c r="B310" s="72" t="s">
        <v>3589</v>
      </c>
      <c r="C310" s="73"/>
      <c r="D310" s="73"/>
      <c r="E310" s="73"/>
      <c r="F310" s="73"/>
      <c r="G310" s="73"/>
      <c r="H310" s="73"/>
      <c r="I310" s="73"/>
      <c r="J310" s="73"/>
      <c r="K310" s="73"/>
      <c r="L310" s="73"/>
      <c r="M310" s="73"/>
      <c r="N310" s="73"/>
      <c r="O310" s="73"/>
      <c r="P310" s="73"/>
      <c r="Q310" s="73"/>
      <c r="R310" s="73"/>
      <c r="S310" s="73"/>
      <c r="T310" s="73"/>
      <c r="U310" s="74"/>
    </row>
    <row r="311" spans="2:21" s="15" customFormat="1" x14ac:dyDescent="0.25">
      <c r="B311" s="72" t="s">
        <v>3221</v>
      </c>
      <c r="C311" s="73"/>
      <c r="D311" s="73"/>
      <c r="E311" s="73"/>
      <c r="F311" s="73"/>
      <c r="G311" s="73"/>
      <c r="H311" s="73"/>
      <c r="I311" s="73"/>
      <c r="J311" s="73"/>
      <c r="K311" s="73"/>
      <c r="L311" s="73"/>
      <c r="M311" s="73"/>
      <c r="N311" s="73"/>
      <c r="O311" s="73"/>
      <c r="P311" s="73"/>
      <c r="Q311" s="73"/>
      <c r="R311" s="73"/>
      <c r="S311" s="73"/>
      <c r="T311" s="73"/>
      <c r="U311" s="74"/>
    </row>
    <row r="312" spans="2:21" s="15" customFormat="1" x14ac:dyDescent="0.25">
      <c r="B312" s="72" t="s">
        <v>3062</v>
      </c>
      <c r="C312" s="73"/>
      <c r="D312" s="73"/>
      <c r="E312" s="73"/>
      <c r="F312" s="73"/>
      <c r="G312" s="73"/>
      <c r="H312" s="73"/>
      <c r="I312" s="73"/>
      <c r="J312" s="73"/>
      <c r="K312" s="73"/>
      <c r="L312" s="73"/>
      <c r="M312" s="73"/>
      <c r="N312" s="73"/>
      <c r="O312" s="73"/>
      <c r="P312" s="73"/>
      <c r="Q312" s="73"/>
      <c r="R312" s="73"/>
      <c r="S312" s="73"/>
      <c r="T312" s="73"/>
      <c r="U312" s="74"/>
    </row>
    <row r="313" spans="2:21" s="15" customFormat="1" x14ac:dyDescent="0.25">
      <c r="B313" s="72" t="s">
        <v>3480</v>
      </c>
      <c r="C313" s="73"/>
      <c r="D313" s="73"/>
      <c r="E313" s="73"/>
      <c r="F313" s="73"/>
      <c r="G313" s="73"/>
      <c r="H313" s="73"/>
      <c r="I313" s="73"/>
      <c r="J313" s="73"/>
      <c r="K313" s="73"/>
      <c r="L313" s="73"/>
      <c r="M313" s="73"/>
      <c r="N313" s="73"/>
      <c r="O313" s="73"/>
      <c r="P313" s="73"/>
      <c r="Q313" s="73"/>
      <c r="R313" s="73"/>
      <c r="S313" s="73"/>
      <c r="T313" s="73"/>
      <c r="U313" s="74"/>
    </row>
    <row r="314" spans="2:21" s="15" customFormat="1" x14ac:dyDescent="0.25">
      <c r="B314" s="72" t="s">
        <v>3590</v>
      </c>
      <c r="C314" s="73"/>
      <c r="D314" s="73"/>
      <c r="E314" s="73"/>
      <c r="F314" s="73"/>
      <c r="G314" s="73"/>
      <c r="H314" s="73"/>
      <c r="I314" s="73"/>
      <c r="J314" s="73"/>
      <c r="K314" s="73"/>
      <c r="L314" s="73"/>
      <c r="M314" s="73"/>
      <c r="N314" s="73"/>
      <c r="O314" s="73"/>
      <c r="P314" s="73"/>
      <c r="Q314" s="73"/>
      <c r="R314" s="73"/>
      <c r="S314" s="73"/>
      <c r="T314" s="73"/>
      <c r="U314" s="74"/>
    </row>
    <row r="315" spans="2:21" s="15" customFormat="1" x14ac:dyDescent="0.25">
      <c r="B315" s="72" t="s">
        <v>3066</v>
      </c>
      <c r="C315" s="73"/>
      <c r="D315" s="73"/>
      <c r="E315" s="73"/>
      <c r="F315" s="73"/>
      <c r="G315" s="73"/>
      <c r="H315" s="73"/>
      <c r="I315" s="73"/>
      <c r="J315" s="73"/>
      <c r="K315" s="73"/>
      <c r="L315" s="73"/>
      <c r="M315" s="73"/>
      <c r="N315" s="73"/>
      <c r="O315" s="73"/>
      <c r="P315" s="73"/>
      <c r="Q315" s="73"/>
      <c r="R315" s="73"/>
      <c r="S315" s="73"/>
      <c r="T315" s="73"/>
      <c r="U315" s="74"/>
    </row>
    <row r="316" spans="2:21" s="15" customFormat="1" x14ac:dyDescent="0.25">
      <c r="B316" s="72" t="s">
        <v>3481</v>
      </c>
      <c r="C316" s="73"/>
      <c r="D316" s="73"/>
      <c r="E316" s="73"/>
      <c r="F316" s="73"/>
      <c r="G316" s="73"/>
      <c r="H316" s="73"/>
      <c r="I316" s="73"/>
      <c r="J316" s="73"/>
      <c r="K316" s="73"/>
      <c r="L316" s="73"/>
      <c r="M316" s="73"/>
      <c r="N316" s="73"/>
      <c r="O316" s="73"/>
      <c r="P316" s="73"/>
      <c r="Q316" s="73"/>
      <c r="R316" s="73"/>
      <c r="S316" s="73"/>
      <c r="T316" s="73"/>
      <c r="U316" s="74"/>
    </row>
    <row r="317" spans="2:21" s="15" customFormat="1" x14ac:dyDescent="0.25">
      <c r="B317" s="72" t="s">
        <v>3591</v>
      </c>
      <c r="C317" s="73"/>
      <c r="D317" s="73"/>
      <c r="E317" s="73"/>
      <c r="F317" s="73"/>
      <c r="G317" s="73"/>
      <c r="H317" s="73"/>
      <c r="I317" s="73"/>
      <c r="J317" s="73"/>
      <c r="K317" s="73"/>
      <c r="L317" s="73"/>
      <c r="M317" s="73"/>
      <c r="N317" s="73"/>
      <c r="O317" s="73"/>
      <c r="P317" s="73"/>
      <c r="Q317" s="73"/>
      <c r="R317" s="73"/>
      <c r="S317" s="73"/>
      <c r="T317" s="73"/>
      <c r="U317" s="74"/>
    </row>
    <row r="318" spans="2:21" s="15" customFormat="1" x14ac:dyDescent="0.25">
      <c r="B318" s="72" t="s">
        <v>3425</v>
      </c>
      <c r="C318" s="73"/>
      <c r="D318" s="73"/>
      <c r="E318" s="73"/>
      <c r="F318" s="73"/>
      <c r="G318" s="73"/>
      <c r="H318" s="73"/>
      <c r="I318" s="73"/>
      <c r="J318" s="73"/>
      <c r="K318" s="73"/>
      <c r="L318" s="73"/>
      <c r="M318" s="73"/>
      <c r="N318" s="73"/>
      <c r="O318" s="73"/>
      <c r="P318" s="73"/>
      <c r="Q318" s="73"/>
      <c r="R318" s="73"/>
      <c r="S318" s="73"/>
      <c r="T318" s="73"/>
      <c r="U318" s="74"/>
    </row>
    <row r="319" spans="2:21" s="15" customFormat="1" x14ac:dyDescent="0.25">
      <c r="B319" s="72" t="s">
        <v>3426</v>
      </c>
      <c r="C319" s="73"/>
      <c r="D319" s="73"/>
      <c r="E319" s="73"/>
      <c r="F319" s="73"/>
      <c r="G319" s="73"/>
      <c r="H319" s="73"/>
      <c r="I319" s="73"/>
      <c r="J319" s="73"/>
      <c r="K319" s="73"/>
      <c r="L319" s="73"/>
      <c r="M319" s="73"/>
      <c r="N319" s="73"/>
      <c r="O319" s="73"/>
      <c r="P319" s="73"/>
      <c r="Q319" s="73"/>
      <c r="R319" s="73"/>
      <c r="S319" s="73"/>
      <c r="T319" s="73"/>
      <c r="U319" s="74"/>
    </row>
    <row r="320" spans="2:21" s="15" customFormat="1" x14ac:dyDescent="0.25">
      <c r="B320" s="72" t="s">
        <v>3483</v>
      </c>
      <c r="C320" s="73"/>
      <c r="D320" s="73"/>
      <c r="E320" s="73"/>
      <c r="F320" s="73"/>
      <c r="G320" s="73"/>
      <c r="H320" s="73"/>
      <c r="I320" s="73"/>
      <c r="J320" s="73"/>
      <c r="K320" s="73"/>
      <c r="L320" s="73"/>
      <c r="M320" s="73"/>
      <c r="N320" s="73"/>
      <c r="O320" s="73"/>
      <c r="P320" s="73"/>
      <c r="Q320" s="73"/>
      <c r="R320" s="73"/>
      <c r="S320" s="73"/>
      <c r="T320" s="73"/>
      <c r="U320" s="74"/>
    </row>
    <row r="321" spans="2:21" s="15" customFormat="1" x14ac:dyDescent="0.25">
      <c r="B321" s="72" t="s">
        <v>3071</v>
      </c>
      <c r="C321" s="73"/>
      <c r="D321" s="73"/>
      <c r="E321" s="73"/>
      <c r="F321" s="73"/>
      <c r="G321" s="73"/>
      <c r="H321" s="73"/>
      <c r="I321" s="73"/>
      <c r="J321" s="73"/>
      <c r="K321" s="73"/>
      <c r="L321" s="73"/>
      <c r="M321" s="73"/>
      <c r="N321" s="73"/>
      <c r="O321" s="73"/>
      <c r="P321" s="73"/>
      <c r="Q321" s="73"/>
      <c r="R321" s="73"/>
      <c r="S321" s="73"/>
      <c r="T321" s="73"/>
      <c r="U321" s="74"/>
    </row>
    <row r="322" spans="2:21" s="15" customFormat="1" x14ac:dyDescent="0.25">
      <c r="B322" s="72" t="s">
        <v>3484</v>
      </c>
      <c r="C322" s="73"/>
      <c r="D322" s="73"/>
      <c r="E322" s="73"/>
      <c r="F322" s="73"/>
      <c r="G322" s="73"/>
      <c r="H322" s="73"/>
      <c r="I322" s="73"/>
      <c r="J322" s="73"/>
      <c r="K322" s="73"/>
      <c r="L322" s="73"/>
      <c r="M322" s="73"/>
      <c r="N322" s="73"/>
      <c r="O322" s="73"/>
      <c r="P322" s="73"/>
      <c r="Q322" s="73"/>
      <c r="R322" s="73"/>
      <c r="S322" s="73"/>
      <c r="T322" s="73"/>
      <c r="U322" s="74"/>
    </row>
    <row r="323" spans="2:21" s="15" customFormat="1" x14ac:dyDescent="0.25">
      <c r="B323" s="72" t="s">
        <v>3083</v>
      </c>
      <c r="C323" s="73"/>
      <c r="D323" s="73"/>
      <c r="E323" s="73"/>
      <c r="F323" s="73"/>
      <c r="G323" s="73"/>
      <c r="H323" s="73"/>
      <c r="I323" s="73"/>
      <c r="J323" s="73"/>
      <c r="K323" s="73"/>
      <c r="L323" s="73"/>
      <c r="M323" s="73"/>
      <c r="N323" s="73"/>
      <c r="O323" s="73"/>
      <c r="P323" s="73"/>
      <c r="Q323" s="73"/>
      <c r="R323" s="73"/>
      <c r="S323" s="73"/>
      <c r="T323" s="73"/>
      <c r="U323" s="74"/>
    </row>
    <row r="324" spans="2:21" s="15" customFormat="1" x14ac:dyDescent="0.25">
      <c r="B324" s="72" t="s">
        <v>3058</v>
      </c>
      <c r="C324" s="73"/>
      <c r="D324" s="73"/>
      <c r="E324" s="73"/>
      <c r="F324" s="73"/>
      <c r="G324" s="73"/>
      <c r="H324" s="73"/>
      <c r="I324" s="73"/>
      <c r="J324" s="73"/>
      <c r="K324" s="73"/>
      <c r="L324" s="73"/>
      <c r="M324" s="73"/>
      <c r="N324" s="73"/>
      <c r="O324" s="73"/>
      <c r="P324" s="73"/>
      <c r="Q324" s="73"/>
      <c r="R324" s="73"/>
      <c r="S324" s="73"/>
      <c r="T324" s="73"/>
      <c r="U324" s="74"/>
    </row>
    <row r="325" spans="2:21" s="15" customFormat="1" x14ac:dyDescent="0.25">
      <c r="B325" s="72" t="s">
        <v>3485</v>
      </c>
      <c r="C325" s="73"/>
      <c r="D325" s="73"/>
      <c r="E325" s="73"/>
      <c r="F325" s="73"/>
      <c r="G325" s="73"/>
      <c r="H325" s="73"/>
      <c r="I325" s="73"/>
      <c r="J325" s="73"/>
      <c r="K325" s="73"/>
      <c r="L325" s="73"/>
      <c r="M325" s="73"/>
      <c r="N325" s="73"/>
      <c r="O325" s="73"/>
      <c r="P325" s="73"/>
      <c r="Q325" s="73"/>
      <c r="R325" s="73"/>
      <c r="S325" s="73"/>
      <c r="T325" s="73"/>
      <c r="U325" s="74"/>
    </row>
    <row r="326" spans="2:21" s="15" customFormat="1" x14ac:dyDescent="0.25">
      <c r="B326" s="72" t="s">
        <v>3085</v>
      </c>
      <c r="C326" s="73"/>
      <c r="D326" s="73"/>
      <c r="E326" s="73"/>
      <c r="F326" s="73"/>
      <c r="G326" s="73"/>
      <c r="H326" s="73"/>
      <c r="I326" s="73"/>
      <c r="J326" s="73"/>
      <c r="K326" s="73"/>
      <c r="L326" s="73"/>
      <c r="M326" s="73"/>
      <c r="N326" s="73"/>
      <c r="O326" s="73"/>
      <c r="P326" s="73"/>
      <c r="Q326" s="73"/>
      <c r="R326" s="73"/>
      <c r="S326" s="73"/>
      <c r="T326" s="73"/>
      <c r="U326" s="74"/>
    </row>
    <row r="327" spans="2:21" s="15" customFormat="1" x14ac:dyDescent="0.25">
      <c r="B327" s="72" t="s">
        <v>3592</v>
      </c>
      <c r="C327" s="73"/>
      <c r="D327" s="73"/>
      <c r="E327" s="73"/>
      <c r="F327" s="73"/>
      <c r="G327" s="73"/>
      <c r="H327" s="73"/>
      <c r="I327" s="73"/>
      <c r="J327" s="73"/>
      <c r="K327" s="73"/>
      <c r="L327" s="73"/>
      <c r="M327" s="73"/>
      <c r="N327" s="73"/>
      <c r="O327" s="73"/>
      <c r="P327" s="73"/>
      <c r="Q327" s="73"/>
      <c r="R327" s="73"/>
      <c r="S327" s="73"/>
      <c r="T327" s="73"/>
      <c r="U327" s="74"/>
    </row>
    <row r="328" spans="2:21" s="15" customFormat="1" x14ac:dyDescent="0.25">
      <c r="B328" s="72" t="s">
        <v>3487</v>
      </c>
      <c r="C328" s="73"/>
      <c r="D328" s="73"/>
      <c r="E328" s="73"/>
      <c r="F328" s="73"/>
      <c r="G328" s="73"/>
      <c r="H328" s="73"/>
      <c r="I328" s="73"/>
      <c r="J328" s="73"/>
      <c r="K328" s="73"/>
      <c r="L328" s="73"/>
      <c r="M328" s="73"/>
      <c r="N328" s="73"/>
      <c r="O328" s="73"/>
      <c r="P328" s="73"/>
      <c r="Q328" s="73"/>
      <c r="R328" s="73"/>
      <c r="S328" s="73"/>
      <c r="T328" s="73"/>
      <c r="U328" s="74"/>
    </row>
    <row r="329" spans="2:21" s="15" customFormat="1" x14ac:dyDescent="0.25">
      <c r="B329" s="72" t="s">
        <v>3593</v>
      </c>
      <c r="C329" s="73"/>
      <c r="D329" s="73"/>
      <c r="E329" s="73"/>
      <c r="F329" s="73"/>
      <c r="G329" s="73"/>
      <c r="H329" s="73"/>
      <c r="I329" s="73"/>
      <c r="J329" s="73"/>
      <c r="K329" s="73"/>
      <c r="L329" s="73"/>
      <c r="M329" s="73"/>
      <c r="N329" s="73"/>
      <c r="O329" s="73"/>
      <c r="P329" s="73"/>
      <c r="Q329" s="73"/>
      <c r="R329" s="73"/>
      <c r="S329" s="73"/>
      <c r="T329" s="73"/>
      <c r="U329" s="74"/>
    </row>
    <row r="330" spans="2:21" s="15" customFormat="1" x14ac:dyDescent="0.25">
      <c r="B330" s="72" t="s">
        <v>3490</v>
      </c>
      <c r="C330" s="73"/>
      <c r="D330" s="73"/>
      <c r="E330" s="73"/>
      <c r="F330" s="73"/>
      <c r="G330" s="73"/>
      <c r="H330" s="73"/>
      <c r="I330" s="73"/>
      <c r="J330" s="73"/>
      <c r="K330" s="73"/>
      <c r="L330" s="73"/>
      <c r="M330" s="73"/>
      <c r="N330" s="73"/>
      <c r="O330" s="73"/>
      <c r="P330" s="73"/>
      <c r="Q330" s="73"/>
      <c r="R330" s="73"/>
      <c r="S330" s="73"/>
      <c r="T330" s="73"/>
      <c r="U330" s="74"/>
    </row>
    <row r="331" spans="2:21" s="15" customFormat="1" x14ac:dyDescent="0.25">
      <c r="B331" s="72" t="s">
        <v>3491</v>
      </c>
      <c r="C331" s="73"/>
      <c r="D331" s="73"/>
      <c r="E331" s="73"/>
      <c r="F331" s="73"/>
      <c r="G331" s="73"/>
      <c r="H331" s="73"/>
      <c r="I331" s="73"/>
      <c r="J331" s="73"/>
      <c r="K331" s="73"/>
      <c r="L331" s="73"/>
      <c r="M331" s="73"/>
      <c r="N331" s="73"/>
      <c r="O331" s="73"/>
      <c r="P331" s="73"/>
      <c r="Q331" s="73"/>
      <c r="R331" s="73"/>
      <c r="S331" s="73"/>
      <c r="T331" s="73"/>
      <c r="U331" s="74"/>
    </row>
    <row r="332" spans="2:21" s="15" customFormat="1" x14ac:dyDescent="0.25">
      <c r="B332" s="72" t="s">
        <v>3492</v>
      </c>
      <c r="C332" s="73"/>
      <c r="D332" s="73"/>
      <c r="E332" s="73"/>
      <c r="F332" s="73"/>
      <c r="G332" s="73"/>
      <c r="H332" s="73"/>
      <c r="I332" s="73"/>
      <c r="J332" s="73"/>
      <c r="K332" s="73"/>
      <c r="L332" s="73"/>
      <c r="M332" s="73"/>
      <c r="N332" s="73"/>
      <c r="O332" s="73"/>
      <c r="P332" s="73"/>
      <c r="Q332" s="73"/>
      <c r="R332" s="73"/>
      <c r="S332" s="73"/>
      <c r="T332" s="73"/>
      <c r="U332" s="74"/>
    </row>
    <row r="333" spans="2:21" s="15" customFormat="1" x14ac:dyDescent="0.25">
      <c r="B333" s="72" t="s">
        <v>3083</v>
      </c>
      <c r="C333" s="73"/>
      <c r="D333" s="73"/>
      <c r="E333" s="73"/>
      <c r="F333" s="73"/>
      <c r="G333" s="73"/>
      <c r="H333" s="73"/>
      <c r="I333" s="73"/>
      <c r="J333" s="73"/>
      <c r="K333" s="73"/>
      <c r="L333" s="73"/>
      <c r="M333" s="73"/>
      <c r="N333" s="73"/>
      <c r="O333" s="73"/>
      <c r="P333" s="73"/>
      <c r="Q333" s="73"/>
      <c r="R333" s="73"/>
      <c r="S333" s="73"/>
      <c r="T333" s="73"/>
      <c r="U333" s="74"/>
    </row>
    <row r="334" spans="2:21" s="15" customFormat="1" x14ac:dyDescent="0.25">
      <c r="B334" s="72" t="s">
        <v>3093</v>
      </c>
      <c r="C334" s="73"/>
      <c r="D334" s="73"/>
      <c r="E334" s="73"/>
      <c r="F334" s="73"/>
      <c r="G334" s="73"/>
      <c r="H334" s="73"/>
      <c r="I334" s="73"/>
      <c r="J334" s="73"/>
      <c r="K334" s="73"/>
      <c r="L334" s="73"/>
      <c r="M334" s="73"/>
      <c r="N334" s="73"/>
      <c r="O334" s="73"/>
      <c r="P334" s="73"/>
      <c r="Q334" s="73"/>
      <c r="R334" s="73"/>
      <c r="S334" s="73"/>
      <c r="T334" s="73"/>
      <c r="U334" s="74"/>
    </row>
    <row r="335" spans="2:21" s="15" customFormat="1" x14ac:dyDescent="0.25">
      <c r="B335" s="72" t="s">
        <v>3084</v>
      </c>
      <c r="C335" s="73"/>
      <c r="D335" s="73"/>
      <c r="E335" s="73"/>
      <c r="F335" s="73"/>
      <c r="G335" s="73"/>
      <c r="H335" s="73"/>
      <c r="I335" s="73"/>
      <c r="J335" s="73"/>
      <c r="K335" s="73"/>
      <c r="L335" s="73"/>
      <c r="M335" s="73"/>
      <c r="N335" s="73"/>
      <c r="O335" s="73"/>
      <c r="P335" s="73"/>
      <c r="Q335" s="73"/>
      <c r="R335" s="73"/>
      <c r="S335" s="73"/>
      <c r="T335" s="73"/>
      <c r="U335" s="74"/>
    </row>
    <row r="336" spans="2:21" s="15" customFormat="1" x14ac:dyDescent="0.25">
      <c r="B336" s="72" t="s">
        <v>3085</v>
      </c>
      <c r="C336" s="73"/>
      <c r="D336" s="73"/>
      <c r="E336" s="73"/>
      <c r="F336" s="73"/>
      <c r="G336" s="73"/>
      <c r="H336" s="73"/>
      <c r="I336" s="73"/>
      <c r="J336" s="73"/>
      <c r="K336" s="73"/>
      <c r="L336" s="73"/>
      <c r="M336" s="73"/>
      <c r="N336" s="73"/>
      <c r="O336" s="73"/>
      <c r="P336" s="73"/>
      <c r="Q336" s="73"/>
      <c r="R336" s="73"/>
      <c r="S336" s="73"/>
      <c r="T336" s="73"/>
      <c r="U336" s="74"/>
    </row>
    <row r="337" spans="2:21" s="15" customFormat="1" x14ac:dyDescent="0.25">
      <c r="B337" s="72" t="s">
        <v>3594</v>
      </c>
      <c r="C337" s="73"/>
      <c r="D337" s="73"/>
      <c r="E337" s="73"/>
      <c r="F337" s="73"/>
      <c r="G337" s="73"/>
      <c r="H337" s="73"/>
      <c r="I337" s="73"/>
      <c r="J337" s="73"/>
      <c r="K337" s="73"/>
      <c r="L337" s="73"/>
      <c r="M337" s="73"/>
      <c r="N337" s="73"/>
      <c r="O337" s="73"/>
      <c r="P337" s="73"/>
      <c r="Q337" s="73"/>
      <c r="R337" s="73"/>
      <c r="S337" s="73"/>
      <c r="T337" s="73"/>
      <c r="U337" s="74"/>
    </row>
    <row r="338" spans="2:21" s="15" customFormat="1" x14ac:dyDescent="0.25">
      <c r="B338" s="72" t="s">
        <v>3083</v>
      </c>
      <c r="C338" s="73"/>
      <c r="D338" s="73"/>
      <c r="E338" s="73"/>
      <c r="F338" s="73"/>
      <c r="G338" s="73"/>
      <c r="H338" s="73"/>
      <c r="I338" s="73"/>
      <c r="J338" s="73"/>
      <c r="K338" s="73"/>
      <c r="L338" s="73"/>
      <c r="M338" s="73"/>
      <c r="N338" s="73"/>
      <c r="O338" s="73"/>
      <c r="P338" s="73"/>
      <c r="Q338" s="73"/>
      <c r="R338" s="73"/>
      <c r="S338" s="73"/>
      <c r="T338" s="73"/>
      <c r="U338" s="74"/>
    </row>
    <row r="339" spans="2:21" s="15" customFormat="1" x14ac:dyDescent="0.25">
      <c r="B339" s="72" t="s">
        <v>3093</v>
      </c>
      <c r="C339" s="73"/>
      <c r="D339" s="73"/>
      <c r="E339" s="73"/>
      <c r="F339" s="73"/>
      <c r="G339" s="73"/>
      <c r="H339" s="73"/>
      <c r="I339" s="73"/>
      <c r="J339" s="73"/>
      <c r="K339" s="73"/>
      <c r="L339" s="73"/>
      <c r="M339" s="73"/>
      <c r="N339" s="73"/>
      <c r="O339" s="73"/>
      <c r="P339" s="73"/>
      <c r="Q339" s="73"/>
      <c r="R339" s="73"/>
      <c r="S339" s="73"/>
      <c r="T339" s="73"/>
      <c r="U339" s="74"/>
    </row>
    <row r="340" spans="2:21" s="15" customFormat="1" x14ac:dyDescent="0.25">
      <c r="B340" s="72" t="s">
        <v>3094</v>
      </c>
      <c r="C340" s="73"/>
      <c r="D340" s="73"/>
      <c r="E340" s="73"/>
      <c r="F340" s="73"/>
      <c r="G340" s="73"/>
      <c r="H340" s="73"/>
      <c r="I340" s="73"/>
      <c r="J340" s="73"/>
      <c r="K340" s="73"/>
      <c r="L340" s="73"/>
      <c r="M340" s="73"/>
      <c r="N340" s="73"/>
      <c r="O340" s="73"/>
      <c r="P340" s="73"/>
      <c r="Q340" s="73"/>
      <c r="R340" s="73"/>
      <c r="S340" s="73"/>
      <c r="T340" s="73"/>
      <c r="U340" s="74"/>
    </row>
    <row r="341" spans="2:21" s="15" customFormat="1" x14ac:dyDescent="0.25">
      <c r="B341" s="72" t="s">
        <v>3095</v>
      </c>
      <c r="C341" s="73"/>
      <c r="D341" s="73"/>
      <c r="E341" s="73"/>
      <c r="F341" s="73"/>
      <c r="G341" s="73"/>
      <c r="H341" s="73"/>
      <c r="I341" s="73"/>
      <c r="J341" s="73"/>
      <c r="K341" s="73"/>
      <c r="L341" s="73"/>
      <c r="M341" s="73"/>
      <c r="N341" s="73"/>
      <c r="O341" s="73"/>
      <c r="P341" s="73"/>
      <c r="Q341" s="73"/>
      <c r="R341" s="73"/>
      <c r="S341" s="73"/>
      <c r="T341" s="73"/>
      <c r="U341" s="74"/>
    </row>
    <row r="342" spans="2:21" s="15" customFormat="1" x14ac:dyDescent="0.25">
      <c r="B342" s="72" t="s">
        <v>3096</v>
      </c>
      <c r="C342" s="73"/>
      <c r="D342" s="73"/>
      <c r="E342" s="73"/>
      <c r="F342" s="73"/>
      <c r="G342" s="73"/>
      <c r="H342" s="73"/>
      <c r="I342" s="73"/>
      <c r="J342" s="73"/>
      <c r="K342" s="73"/>
      <c r="L342" s="73"/>
      <c r="M342" s="73"/>
      <c r="N342" s="73"/>
      <c r="O342" s="73"/>
      <c r="P342" s="73"/>
      <c r="Q342" s="73"/>
      <c r="R342" s="73"/>
      <c r="S342" s="73"/>
      <c r="T342" s="73"/>
      <c r="U342" s="74"/>
    </row>
    <row r="343" spans="2:21" s="15" customFormat="1" x14ac:dyDescent="0.25">
      <c r="B343" s="72" t="s">
        <v>3097</v>
      </c>
      <c r="C343" s="73"/>
      <c r="D343" s="73"/>
      <c r="E343" s="73"/>
      <c r="F343" s="73"/>
      <c r="G343" s="73"/>
      <c r="H343" s="73"/>
      <c r="I343" s="73"/>
      <c r="J343" s="73"/>
      <c r="K343" s="73"/>
      <c r="L343" s="73"/>
      <c r="M343" s="73"/>
      <c r="N343" s="73"/>
      <c r="O343" s="73"/>
      <c r="P343" s="73"/>
      <c r="Q343" s="73"/>
      <c r="R343" s="73"/>
      <c r="S343" s="73"/>
      <c r="T343" s="73"/>
      <c r="U343" s="74"/>
    </row>
    <row r="344" spans="2:21" s="15" customFormat="1" x14ac:dyDescent="0.25">
      <c r="B344" s="72" t="s">
        <v>3098</v>
      </c>
      <c r="C344" s="73"/>
      <c r="D344" s="73"/>
      <c r="E344" s="73"/>
      <c r="F344" s="73"/>
      <c r="G344" s="73"/>
      <c r="H344" s="73"/>
      <c r="I344" s="73"/>
      <c r="J344" s="73"/>
      <c r="K344" s="73"/>
      <c r="L344" s="73"/>
      <c r="M344" s="73"/>
      <c r="N344" s="73"/>
      <c r="O344" s="73"/>
      <c r="P344" s="73"/>
      <c r="Q344" s="73"/>
      <c r="R344" s="73"/>
      <c r="S344" s="73"/>
      <c r="T344" s="73"/>
      <c r="U344" s="74"/>
    </row>
    <row r="345" spans="2:21" s="15" customFormat="1" x14ac:dyDescent="0.25">
      <c r="B345" s="72" t="s">
        <v>3099</v>
      </c>
      <c r="C345" s="73"/>
      <c r="D345" s="73"/>
      <c r="E345" s="73"/>
      <c r="F345" s="73"/>
      <c r="G345" s="73"/>
      <c r="H345" s="73"/>
      <c r="I345" s="73"/>
      <c r="J345" s="73"/>
      <c r="K345" s="73"/>
      <c r="L345" s="73"/>
      <c r="M345" s="73"/>
      <c r="N345" s="73"/>
      <c r="O345" s="73"/>
      <c r="P345" s="73"/>
      <c r="Q345" s="73"/>
      <c r="R345" s="73"/>
      <c r="S345" s="73"/>
      <c r="T345" s="73"/>
      <c r="U345" s="74"/>
    </row>
    <row r="346" spans="2:21" s="15" customFormat="1" x14ac:dyDescent="0.25">
      <c r="B346" s="72" t="s">
        <v>3100</v>
      </c>
      <c r="C346" s="73"/>
      <c r="D346" s="73"/>
      <c r="E346" s="73"/>
      <c r="F346" s="73"/>
      <c r="G346" s="73"/>
      <c r="H346" s="73"/>
      <c r="I346" s="73"/>
      <c r="J346" s="73"/>
      <c r="K346" s="73"/>
      <c r="L346" s="73"/>
      <c r="M346" s="73"/>
      <c r="N346" s="73"/>
      <c r="O346" s="73"/>
      <c r="P346" s="73"/>
      <c r="Q346" s="73"/>
      <c r="R346" s="73"/>
      <c r="S346" s="73"/>
      <c r="T346" s="73"/>
      <c r="U346" s="74"/>
    </row>
    <row r="347" spans="2:21" s="15" customFormat="1" x14ac:dyDescent="0.25">
      <c r="B347" s="72" t="s">
        <v>3494</v>
      </c>
      <c r="C347" s="73"/>
      <c r="D347" s="73"/>
      <c r="E347" s="73"/>
      <c r="F347" s="73"/>
      <c r="G347" s="73"/>
      <c r="H347" s="73"/>
      <c r="I347" s="73"/>
      <c r="J347" s="73"/>
      <c r="K347" s="73"/>
      <c r="L347" s="73"/>
      <c r="M347" s="73"/>
      <c r="N347" s="73"/>
      <c r="O347" s="73"/>
      <c r="P347" s="73"/>
      <c r="Q347" s="73"/>
      <c r="R347" s="73"/>
      <c r="S347" s="73"/>
      <c r="T347" s="73"/>
      <c r="U347" s="74"/>
    </row>
    <row r="348" spans="2:21" s="15" customFormat="1" x14ac:dyDescent="0.25">
      <c r="B348" s="72" t="s">
        <v>3495</v>
      </c>
      <c r="C348" s="73"/>
      <c r="D348" s="73"/>
      <c r="E348" s="73"/>
      <c r="F348" s="73"/>
      <c r="G348" s="73"/>
      <c r="H348" s="73"/>
      <c r="I348" s="73"/>
      <c r="J348" s="73"/>
      <c r="K348" s="73"/>
      <c r="L348" s="73"/>
      <c r="M348" s="73"/>
      <c r="N348" s="73"/>
      <c r="O348" s="73"/>
      <c r="P348" s="73"/>
      <c r="Q348" s="73"/>
      <c r="R348" s="73"/>
      <c r="S348" s="73"/>
      <c r="T348" s="73"/>
      <c r="U348" s="74"/>
    </row>
    <row r="349" spans="2:21" s="15" customFormat="1" x14ac:dyDescent="0.25">
      <c r="B349" s="72" t="s">
        <v>3342</v>
      </c>
      <c r="C349" s="73"/>
      <c r="D349" s="73"/>
      <c r="E349" s="73"/>
      <c r="F349" s="73"/>
      <c r="G349" s="73"/>
      <c r="H349" s="73"/>
      <c r="I349" s="73"/>
      <c r="J349" s="73"/>
      <c r="K349" s="73"/>
      <c r="L349" s="73"/>
      <c r="M349" s="73"/>
      <c r="N349" s="73"/>
      <c r="O349" s="73"/>
      <c r="P349" s="73"/>
      <c r="Q349" s="73"/>
      <c r="R349" s="73"/>
      <c r="S349" s="73"/>
      <c r="T349" s="73"/>
      <c r="U349" s="74"/>
    </row>
    <row r="350" spans="2:21" s="15" customFormat="1" x14ac:dyDescent="0.25">
      <c r="B350" s="72" t="s">
        <v>3595</v>
      </c>
      <c r="C350" s="73"/>
      <c r="D350" s="73"/>
      <c r="E350" s="73"/>
      <c r="F350" s="73"/>
      <c r="G350" s="73"/>
      <c r="H350" s="73"/>
      <c r="I350" s="73"/>
      <c r="J350" s="73"/>
      <c r="K350" s="73"/>
      <c r="L350" s="73"/>
      <c r="M350" s="73"/>
      <c r="N350" s="73"/>
      <c r="O350" s="73"/>
      <c r="P350" s="73"/>
      <c r="Q350" s="73"/>
      <c r="R350" s="73"/>
      <c r="S350" s="73"/>
      <c r="T350" s="73"/>
      <c r="U350" s="74"/>
    </row>
    <row r="351" spans="2:21" s="15" customFormat="1" x14ac:dyDescent="0.25">
      <c r="B351" s="72" t="s">
        <v>3105</v>
      </c>
      <c r="C351" s="73"/>
      <c r="D351" s="73"/>
      <c r="E351" s="73"/>
      <c r="F351" s="73"/>
      <c r="G351" s="73"/>
      <c r="H351" s="73"/>
      <c r="I351" s="73"/>
      <c r="J351" s="73"/>
      <c r="K351" s="73"/>
      <c r="L351" s="73"/>
      <c r="M351" s="73"/>
      <c r="N351" s="73"/>
      <c r="O351" s="73"/>
      <c r="P351" s="73"/>
      <c r="Q351" s="73"/>
      <c r="R351" s="73"/>
      <c r="S351" s="73"/>
      <c r="T351" s="73"/>
      <c r="U351" s="74"/>
    </row>
    <row r="352" spans="2:21" s="15" customFormat="1" x14ac:dyDescent="0.25">
      <c r="B352" s="72" t="s">
        <v>3106</v>
      </c>
      <c r="C352" s="73"/>
      <c r="D352" s="73"/>
      <c r="E352" s="73"/>
      <c r="F352" s="73"/>
      <c r="G352" s="73"/>
      <c r="H352" s="73"/>
      <c r="I352" s="73"/>
      <c r="J352" s="73"/>
      <c r="K352" s="73"/>
      <c r="L352" s="73"/>
      <c r="M352" s="73"/>
      <c r="N352" s="73"/>
      <c r="O352" s="73"/>
      <c r="P352" s="73"/>
      <c r="Q352" s="73"/>
      <c r="R352" s="73"/>
      <c r="S352" s="73"/>
      <c r="T352" s="73"/>
      <c r="U352" s="74"/>
    </row>
    <row r="353" spans="2:21" s="15" customFormat="1" x14ac:dyDescent="0.25">
      <c r="B353" s="72" t="s">
        <v>3497</v>
      </c>
      <c r="C353" s="73"/>
      <c r="D353" s="73"/>
      <c r="E353" s="73"/>
      <c r="F353" s="73"/>
      <c r="G353" s="73"/>
      <c r="H353" s="73"/>
      <c r="I353" s="73"/>
      <c r="J353" s="73"/>
      <c r="K353" s="73"/>
      <c r="L353" s="73"/>
      <c r="M353" s="73"/>
      <c r="N353" s="73"/>
      <c r="O353" s="73"/>
      <c r="P353" s="73"/>
      <c r="Q353" s="73"/>
      <c r="R353" s="73"/>
      <c r="S353" s="73"/>
      <c r="T353" s="73"/>
      <c r="U353" s="74"/>
    </row>
    <row r="354" spans="2:21" s="15" customFormat="1" x14ac:dyDescent="0.25">
      <c r="B354" s="72" t="s">
        <v>3596</v>
      </c>
      <c r="C354" s="73"/>
      <c r="D354" s="73"/>
      <c r="E354" s="73"/>
      <c r="F354" s="73"/>
      <c r="G354" s="73"/>
      <c r="H354" s="73"/>
      <c r="I354" s="73"/>
      <c r="J354" s="73"/>
      <c r="K354" s="73"/>
      <c r="L354" s="73"/>
      <c r="M354" s="73"/>
      <c r="N354" s="73"/>
      <c r="O354" s="73"/>
      <c r="P354" s="73"/>
      <c r="Q354" s="73"/>
      <c r="R354" s="73"/>
      <c r="S354" s="73"/>
      <c r="T354" s="73"/>
      <c r="U354" s="74"/>
    </row>
    <row r="355" spans="2:21" s="15" customFormat="1" x14ac:dyDescent="0.25">
      <c r="B355" s="72" t="s">
        <v>3597</v>
      </c>
      <c r="C355" s="73"/>
      <c r="D355" s="73"/>
      <c r="E355" s="73"/>
      <c r="F355" s="73"/>
      <c r="G355" s="73"/>
      <c r="H355" s="73"/>
      <c r="I355" s="73"/>
      <c r="J355" s="73"/>
      <c r="K355" s="73"/>
      <c r="L355" s="73"/>
      <c r="M355" s="73"/>
      <c r="N355" s="73"/>
      <c r="O355" s="73"/>
      <c r="P355" s="73"/>
      <c r="Q355" s="73"/>
      <c r="R355" s="73"/>
      <c r="S355" s="73"/>
      <c r="T355" s="73"/>
      <c r="U355" s="74"/>
    </row>
    <row r="356" spans="2:21" s="15" customFormat="1" x14ac:dyDescent="0.25">
      <c r="B356" s="72" t="s">
        <v>3598</v>
      </c>
      <c r="C356" s="73"/>
      <c r="D356" s="73"/>
      <c r="E356" s="73"/>
      <c r="F356" s="73"/>
      <c r="G356" s="73"/>
      <c r="H356" s="73"/>
      <c r="I356" s="73"/>
      <c r="J356" s="73"/>
      <c r="K356" s="73"/>
      <c r="L356" s="73"/>
      <c r="M356" s="73"/>
      <c r="N356" s="73"/>
      <c r="O356" s="73"/>
      <c r="P356" s="73"/>
      <c r="Q356" s="73"/>
      <c r="R356" s="73"/>
      <c r="S356" s="73"/>
      <c r="T356" s="73"/>
      <c r="U356" s="74"/>
    </row>
    <row r="357" spans="2:21" s="15" customFormat="1" x14ac:dyDescent="0.25">
      <c r="B357" s="72" t="s">
        <v>3599</v>
      </c>
      <c r="C357" s="73"/>
      <c r="D357" s="73"/>
      <c r="E357" s="73"/>
      <c r="F357" s="73"/>
      <c r="G357" s="73"/>
      <c r="H357" s="73"/>
      <c r="I357" s="73"/>
      <c r="J357" s="73"/>
      <c r="K357" s="73"/>
      <c r="L357" s="73"/>
      <c r="M357" s="73"/>
      <c r="N357" s="73"/>
      <c r="O357" s="73"/>
      <c r="P357" s="73"/>
      <c r="Q357" s="73"/>
      <c r="R357" s="73"/>
      <c r="S357" s="73"/>
      <c r="T357" s="73"/>
      <c r="U357" s="74"/>
    </row>
    <row r="358" spans="2:21" s="15" customFormat="1" x14ac:dyDescent="0.25">
      <c r="B358" s="72" t="s">
        <v>3600</v>
      </c>
      <c r="C358" s="73"/>
      <c r="D358" s="73"/>
      <c r="E358" s="73"/>
      <c r="F358" s="73"/>
      <c r="G358" s="73"/>
      <c r="H358" s="73"/>
      <c r="I358" s="73"/>
      <c r="J358" s="73"/>
      <c r="K358" s="73"/>
      <c r="L358" s="73"/>
      <c r="M358" s="73"/>
      <c r="N358" s="73"/>
      <c r="O358" s="73"/>
      <c r="P358" s="73"/>
      <c r="Q358" s="73"/>
      <c r="R358" s="73"/>
      <c r="S358" s="73"/>
      <c r="T358" s="73"/>
      <c r="U358" s="74"/>
    </row>
    <row r="359" spans="2:21" s="15" customFormat="1" x14ac:dyDescent="0.25">
      <c r="B359" s="72" t="s">
        <v>3601</v>
      </c>
      <c r="C359" s="73"/>
      <c r="D359" s="73"/>
      <c r="E359" s="73"/>
      <c r="F359" s="73"/>
      <c r="G359" s="73"/>
      <c r="H359" s="73"/>
      <c r="I359" s="73"/>
      <c r="J359" s="73"/>
      <c r="K359" s="73"/>
      <c r="L359" s="73"/>
      <c r="M359" s="73"/>
      <c r="N359" s="73"/>
      <c r="O359" s="73"/>
      <c r="P359" s="73"/>
      <c r="Q359" s="73"/>
      <c r="R359" s="73"/>
      <c r="S359" s="73"/>
      <c r="T359" s="73"/>
      <c r="U359" s="74"/>
    </row>
    <row r="360" spans="2:21" s="15" customFormat="1" x14ac:dyDescent="0.25">
      <c r="B360" s="72" t="s">
        <v>3602</v>
      </c>
      <c r="C360" s="73"/>
      <c r="D360" s="73"/>
      <c r="E360" s="73"/>
      <c r="F360" s="73"/>
      <c r="G360" s="73"/>
      <c r="H360" s="73"/>
      <c r="I360" s="73"/>
      <c r="J360" s="73"/>
      <c r="K360" s="73"/>
      <c r="L360" s="73"/>
      <c r="M360" s="73"/>
      <c r="N360" s="73"/>
      <c r="O360" s="73"/>
      <c r="P360" s="73"/>
      <c r="Q360" s="73"/>
      <c r="R360" s="73"/>
      <c r="S360" s="73"/>
      <c r="T360" s="73"/>
      <c r="U360" s="74"/>
    </row>
    <row r="361" spans="2:21" s="15" customFormat="1" x14ac:dyDescent="0.25">
      <c r="B361" s="72" t="s">
        <v>3603</v>
      </c>
      <c r="C361" s="73"/>
      <c r="D361" s="73"/>
      <c r="E361" s="73"/>
      <c r="F361" s="73"/>
      <c r="G361" s="73"/>
      <c r="H361" s="73"/>
      <c r="I361" s="73"/>
      <c r="J361" s="73"/>
      <c r="K361" s="73"/>
      <c r="L361" s="73"/>
      <c r="M361" s="73"/>
      <c r="N361" s="73"/>
      <c r="O361" s="73"/>
      <c r="P361" s="73"/>
      <c r="Q361" s="73"/>
      <c r="R361" s="73"/>
      <c r="S361" s="73"/>
      <c r="T361" s="73"/>
      <c r="U361" s="74"/>
    </row>
    <row r="362" spans="2:21" s="15" customFormat="1" x14ac:dyDescent="0.25">
      <c r="B362" s="72" t="s">
        <v>3604</v>
      </c>
      <c r="C362" s="73"/>
      <c r="D362" s="73"/>
      <c r="E362" s="73"/>
      <c r="F362" s="73"/>
      <c r="G362" s="73"/>
      <c r="H362" s="73"/>
      <c r="I362" s="73"/>
      <c r="J362" s="73"/>
      <c r="K362" s="73"/>
      <c r="L362" s="73"/>
      <c r="M362" s="73"/>
      <c r="N362" s="73"/>
      <c r="O362" s="73"/>
      <c r="P362" s="73"/>
      <c r="Q362" s="73"/>
      <c r="R362" s="73"/>
      <c r="S362" s="73"/>
      <c r="T362" s="73"/>
      <c r="U362" s="74"/>
    </row>
    <row r="363" spans="2:21" s="15" customFormat="1" x14ac:dyDescent="0.25">
      <c r="B363" s="72" t="s">
        <v>3605</v>
      </c>
      <c r="C363" s="73"/>
      <c r="D363" s="73"/>
      <c r="E363" s="73"/>
      <c r="F363" s="73"/>
      <c r="G363" s="73"/>
      <c r="H363" s="73"/>
      <c r="I363" s="73"/>
      <c r="J363" s="73"/>
      <c r="K363" s="73"/>
      <c r="L363" s="73"/>
      <c r="M363" s="73"/>
      <c r="N363" s="73"/>
      <c r="O363" s="73"/>
      <c r="P363" s="73"/>
      <c r="Q363" s="73"/>
      <c r="R363" s="73"/>
      <c r="S363" s="73"/>
      <c r="T363" s="73"/>
      <c r="U363" s="74"/>
    </row>
    <row r="364" spans="2:21" s="15" customFormat="1" x14ac:dyDescent="0.25">
      <c r="B364" s="72" t="s">
        <v>3353</v>
      </c>
      <c r="C364" s="73"/>
      <c r="D364" s="73"/>
      <c r="E364" s="73"/>
      <c r="F364" s="73"/>
      <c r="G364" s="73"/>
      <c r="H364" s="73"/>
      <c r="I364" s="73"/>
      <c r="J364" s="73"/>
      <c r="K364" s="73"/>
      <c r="L364" s="73"/>
      <c r="M364" s="73"/>
      <c r="N364" s="73"/>
      <c r="O364" s="73"/>
      <c r="P364" s="73"/>
      <c r="Q364" s="73"/>
      <c r="R364" s="73"/>
      <c r="S364" s="73"/>
      <c r="T364" s="73"/>
      <c r="U364" s="74"/>
    </row>
    <row r="365" spans="2:21" s="15" customFormat="1" x14ac:dyDescent="0.25">
      <c r="B365" s="72" t="s">
        <v>3058</v>
      </c>
      <c r="C365" s="73"/>
      <c r="D365" s="73"/>
      <c r="E365" s="73"/>
      <c r="F365" s="73"/>
      <c r="G365" s="73"/>
      <c r="H365" s="73"/>
      <c r="I365" s="73"/>
      <c r="J365" s="73"/>
      <c r="K365" s="73"/>
      <c r="L365" s="73"/>
      <c r="M365" s="73"/>
      <c r="N365" s="73"/>
      <c r="O365" s="73"/>
      <c r="P365" s="73"/>
      <c r="Q365" s="73"/>
      <c r="R365" s="73"/>
      <c r="S365" s="73"/>
      <c r="T365" s="73"/>
      <c r="U365" s="74"/>
    </row>
    <row r="366" spans="2:21" s="15" customFormat="1" x14ac:dyDescent="0.25">
      <c r="B366" s="72" t="s">
        <v>3507</v>
      </c>
      <c r="C366" s="73"/>
      <c r="D366" s="73"/>
      <c r="E366" s="73"/>
      <c r="F366" s="73"/>
      <c r="G366" s="73"/>
      <c r="H366" s="73"/>
      <c r="I366" s="73"/>
      <c r="J366" s="73"/>
      <c r="K366" s="73"/>
      <c r="L366" s="73"/>
      <c r="M366" s="73"/>
      <c r="N366" s="73"/>
      <c r="O366" s="73"/>
      <c r="P366" s="73"/>
      <c r="Q366" s="73"/>
      <c r="R366" s="73"/>
      <c r="S366" s="73"/>
      <c r="T366" s="73"/>
      <c r="U366" s="74"/>
    </row>
    <row r="367" spans="2:21" s="15" customFormat="1" x14ac:dyDescent="0.25">
      <c r="B367" s="72" t="s">
        <v>3606</v>
      </c>
      <c r="C367" s="73"/>
      <c r="D367" s="73"/>
      <c r="E367" s="73"/>
      <c r="F367" s="73"/>
      <c r="G367" s="73"/>
      <c r="H367" s="73"/>
      <c r="I367" s="73"/>
      <c r="J367" s="73"/>
      <c r="K367" s="73"/>
      <c r="L367" s="73"/>
      <c r="M367" s="73"/>
      <c r="N367" s="73"/>
      <c r="O367" s="73"/>
      <c r="P367" s="73"/>
      <c r="Q367" s="73"/>
      <c r="R367" s="73"/>
      <c r="S367" s="73"/>
      <c r="T367" s="73"/>
      <c r="U367" s="74"/>
    </row>
    <row r="368" spans="2:21" s="15" customFormat="1" x14ac:dyDescent="0.25">
      <c r="B368" s="72" t="s">
        <v>3509</v>
      </c>
      <c r="C368" s="73"/>
      <c r="D368" s="73"/>
      <c r="E368" s="73"/>
      <c r="F368" s="73"/>
      <c r="G368" s="73"/>
      <c r="H368" s="73"/>
      <c r="I368" s="73"/>
      <c r="J368" s="73"/>
      <c r="K368" s="73"/>
      <c r="L368" s="73"/>
      <c r="M368" s="73"/>
      <c r="N368" s="73"/>
      <c r="O368" s="73"/>
      <c r="P368" s="73"/>
      <c r="Q368" s="73"/>
      <c r="R368" s="73"/>
      <c r="S368" s="73"/>
      <c r="T368" s="73"/>
      <c r="U368" s="74"/>
    </row>
    <row r="369" spans="2:21" s="15" customFormat="1" x14ac:dyDescent="0.25">
      <c r="B369" s="72" t="s">
        <v>3510</v>
      </c>
      <c r="C369" s="73"/>
      <c r="D369" s="73"/>
      <c r="E369" s="73"/>
      <c r="F369" s="73"/>
      <c r="G369" s="73"/>
      <c r="H369" s="73"/>
      <c r="I369" s="73"/>
      <c r="J369" s="73"/>
      <c r="K369" s="73"/>
      <c r="L369" s="73"/>
      <c r="M369" s="73"/>
      <c r="N369" s="73"/>
      <c r="O369" s="73"/>
      <c r="P369" s="73"/>
      <c r="Q369" s="73"/>
      <c r="R369" s="73"/>
      <c r="S369" s="73"/>
      <c r="T369" s="73"/>
      <c r="U369" s="74"/>
    </row>
    <row r="370" spans="2:21" s="15" customFormat="1" x14ac:dyDescent="0.25">
      <c r="B370" s="72" t="s">
        <v>3607</v>
      </c>
      <c r="C370" s="73"/>
      <c r="D370" s="73"/>
      <c r="E370" s="73"/>
      <c r="F370" s="73"/>
      <c r="G370" s="73"/>
      <c r="H370" s="73"/>
      <c r="I370" s="73"/>
      <c r="J370" s="73"/>
      <c r="K370" s="73"/>
      <c r="L370" s="73"/>
      <c r="M370" s="73"/>
      <c r="N370" s="73"/>
      <c r="O370" s="73"/>
      <c r="P370" s="73"/>
      <c r="Q370" s="73"/>
      <c r="R370" s="73"/>
      <c r="S370" s="73"/>
      <c r="T370" s="73"/>
      <c r="U370" s="74"/>
    </row>
    <row r="371" spans="2:21" s="15" customFormat="1" x14ac:dyDescent="0.25">
      <c r="B371" s="72" t="s">
        <v>3608</v>
      </c>
      <c r="C371" s="73"/>
      <c r="D371" s="73"/>
      <c r="E371" s="73"/>
      <c r="F371" s="73"/>
      <c r="G371" s="73"/>
      <c r="H371" s="73"/>
      <c r="I371" s="73"/>
      <c r="J371" s="73"/>
      <c r="K371" s="73"/>
      <c r="L371" s="73"/>
      <c r="M371" s="73"/>
      <c r="N371" s="73"/>
      <c r="O371" s="73"/>
      <c r="P371" s="73"/>
      <c r="Q371" s="73"/>
      <c r="R371" s="73"/>
      <c r="S371" s="73"/>
      <c r="T371" s="73"/>
      <c r="U371" s="74"/>
    </row>
    <row r="372" spans="2:21" s="15" customFormat="1" x14ac:dyDescent="0.25">
      <c r="B372" s="72" t="s">
        <v>3609</v>
      </c>
      <c r="C372" s="73"/>
      <c r="D372" s="73"/>
      <c r="E372" s="73"/>
      <c r="F372" s="73"/>
      <c r="G372" s="73"/>
      <c r="H372" s="73"/>
      <c r="I372" s="73"/>
      <c r="J372" s="73"/>
      <c r="K372" s="73"/>
      <c r="L372" s="73"/>
      <c r="M372" s="73"/>
      <c r="N372" s="73"/>
      <c r="O372" s="73"/>
      <c r="P372" s="73"/>
      <c r="Q372" s="73"/>
      <c r="R372" s="73"/>
      <c r="S372" s="73"/>
      <c r="T372" s="73"/>
      <c r="U372" s="74"/>
    </row>
    <row r="373" spans="2:21" s="15" customFormat="1" x14ac:dyDescent="0.25">
      <c r="B373" s="72" t="s">
        <v>3610</v>
      </c>
      <c r="C373" s="73"/>
      <c r="D373" s="73"/>
      <c r="E373" s="73"/>
      <c r="F373" s="73"/>
      <c r="G373" s="73"/>
      <c r="H373" s="73"/>
      <c r="I373" s="73"/>
      <c r="J373" s="73"/>
      <c r="K373" s="73"/>
      <c r="L373" s="73"/>
      <c r="M373" s="73"/>
      <c r="N373" s="73"/>
      <c r="O373" s="73"/>
      <c r="P373" s="73"/>
      <c r="Q373" s="73"/>
      <c r="R373" s="73"/>
      <c r="S373" s="73"/>
      <c r="T373" s="73"/>
      <c r="U373" s="74"/>
    </row>
    <row r="374" spans="2:21" s="15" customFormat="1" x14ac:dyDescent="0.25">
      <c r="B374" s="72" t="s">
        <v>3611</v>
      </c>
      <c r="C374" s="73"/>
      <c r="D374" s="73"/>
      <c r="E374" s="73"/>
      <c r="F374" s="73"/>
      <c r="G374" s="73"/>
      <c r="H374" s="73"/>
      <c r="I374" s="73"/>
      <c r="J374" s="73"/>
      <c r="K374" s="73"/>
      <c r="L374" s="73"/>
      <c r="M374" s="73"/>
      <c r="N374" s="73"/>
      <c r="O374" s="73"/>
      <c r="P374" s="73"/>
      <c r="Q374" s="73"/>
      <c r="R374" s="73"/>
      <c r="S374" s="73"/>
      <c r="T374" s="73"/>
      <c r="U374" s="74"/>
    </row>
    <row r="375" spans="2:21" s="15" customFormat="1" x14ac:dyDescent="0.25">
      <c r="B375" s="72" t="s">
        <v>3612</v>
      </c>
      <c r="C375" s="73"/>
      <c r="D375" s="73"/>
      <c r="E375" s="73"/>
      <c r="F375" s="73"/>
      <c r="G375" s="73"/>
      <c r="H375" s="73"/>
      <c r="I375" s="73"/>
      <c r="J375" s="73"/>
      <c r="K375" s="73"/>
      <c r="L375" s="73"/>
      <c r="M375" s="73"/>
      <c r="N375" s="73"/>
      <c r="O375" s="73"/>
      <c r="P375" s="73"/>
      <c r="Q375" s="73"/>
      <c r="R375" s="73"/>
      <c r="S375" s="73"/>
      <c r="T375" s="73"/>
      <c r="U375" s="74"/>
    </row>
    <row r="376" spans="2:21" s="15" customFormat="1" x14ac:dyDescent="0.25">
      <c r="B376" s="72" t="s">
        <v>3517</v>
      </c>
      <c r="C376" s="73"/>
      <c r="D376" s="73"/>
      <c r="E376" s="73"/>
      <c r="F376" s="73"/>
      <c r="G376" s="73"/>
      <c r="H376" s="73"/>
      <c r="I376" s="73"/>
      <c r="J376" s="73"/>
      <c r="K376" s="73"/>
      <c r="L376" s="73"/>
      <c r="M376" s="73"/>
      <c r="N376" s="73"/>
      <c r="O376" s="73"/>
      <c r="P376" s="73"/>
      <c r="Q376" s="73"/>
      <c r="R376" s="73"/>
      <c r="S376" s="73"/>
      <c r="T376" s="73"/>
      <c r="U376" s="74"/>
    </row>
    <row r="377" spans="2:21" s="15" customFormat="1" x14ac:dyDescent="0.25">
      <c r="B377" s="72" t="s">
        <v>3613</v>
      </c>
      <c r="C377" s="73"/>
      <c r="D377" s="73"/>
      <c r="E377" s="73"/>
      <c r="F377" s="73"/>
      <c r="G377" s="73"/>
      <c r="H377" s="73"/>
      <c r="I377" s="73"/>
      <c r="J377" s="73"/>
      <c r="K377" s="73"/>
      <c r="L377" s="73"/>
      <c r="M377" s="73"/>
      <c r="N377" s="73"/>
      <c r="O377" s="73"/>
      <c r="P377" s="73"/>
      <c r="Q377" s="73"/>
      <c r="R377" s="73"/>
      <c r="S377" s="73"/>
      <c r="T377" s="73"/>
      <c r="U377" s="74"/>
    </row>
    <row r="378" spans="2:21" s="15" customFormat="1" x14ac:dyDescent="0.25">
      <c r="B378" s="72" t="s">
        <v>3614</v>
      </c>
      <c r="C378" s="73"/>
      <c r="D378" s="73"/>
      <c r="E378" s="73"/>
      <c r="F378" s="73"/>
      <c r="G378" s="73"/>
      <c r="H378" s="73"/>
      <c r="I378" s="73"/>
      <c r="J378" s="73"/>
      <c r="K378" s="73"/>
      <c r="L378" s="73"/>
      <c r="M378" s="73"/>
      <c r="N378" s="73"/>
      <c r="O378" s="73"/>
      <c r="P378" s="73"/>
      <c r="Q378" s="73"/>
      <c r="R378" s="73"/>
      <c r="S378" s="73"/>
      <c r="T378" s="73"/>
      <c r="U378" s="74"/>
    </row>
    <row r="379" spans="2:21" s="15" customFormat="1" x14ac:dyDescent="0.25">
      <c r="B379" s="72" t="s">
        <v>3615</v>
      </c>
      <c r="C379" s="73"/>
      <c r="D379" s="73"/>
      <c r="E379" s="73"/>
      <c r="F379" s="73"/>
      <c r="G379" s="73"/>
      <c r="H379" s="73"/>
      <c r="I379" s="73"/>
      <c r="J379" s="73"/>
      <c r="K379" s="73"/>
      <c r="L379" s="73"/>
      <c r="M379" s="73"/>
      <c r="N379" s="73"/>
      <c r="O379" s="73"/>
      <c r="P379" s="73"/>
      <c r="Q379" s="73"/>
      <c r="R379" s="73"/>
      <c r="S379" s="73"/>
      <c r="T379" s="73"/>
      <c r="U379" s="74"/>
    </row>
    <row r="380" spans="2:21" s="15" customFormat="1" x14ac:dyDescent="0.25">
      <c r="B380" s="72" t="s">
        <v>3616</v>
      </c>
      <c r="C380" s="73"/>
      <c r="D380" s="73"/>
      <c r="E380" s="73"/>
      <c r="F380" s="73"/>
      <c r="G380" s="73"/>
      <c r="H380" s="73"/>
      <c r="I380" s="73"/>
      <c r="J380" s="73"/>
      <c r="K380" s="73"/>
      <c r="L380" s="73"/>
      <c r="M380" s="73"/>
      <c r="N380" s="73"/>
      <c r="O380" s="73"/>
      <c r="P380" s="73"/>
      <c r="Q380" s="73"/>
      <c r="R380" s="73"/>
      <c r="S380" s="73"/>
      <c r="T380" s="73"/>
      <c r="U380" s="74"/>
    </row>
    <row r="381" spans="2:21" s="15" customFormat="1" x14ac:dyDescent="0.25">
      <c r="B381" s="72" t="s">
        <v>3617</v>
      </c>
      <c r="C381" s="73"/>
      <c r="D381" s="73"/>
      <c r="E381" s="73"/>
      <c r="F381" s="73"/>
      <c r="G381" s="73"/>
      <c r="H381" s="73"/>
      <c r="I381" s="73"/>
      <c r="J381" s="73"/>
      <c r="K381" s="73"/>
      <c r="L381" s="73"/>
      <c r="M381" s="73"/>
      <c r="N381" s="73"/>
      <c r="O381" s="73"/>
      <c r="P381" s="73"/>
      <c r="Q381" s="73"/>
      <c r="R381" s="73"/>
      <c r="S381" s="73"/>
      <c r="T381" s="73"/>
      <c r="U381" s="74"/>
    </row>
    <row r="382" spans="2:21" s="15" customFormat="1" x14ac:dyDescent="0.25">
      <c r="B382" s="72" t="s">
        <v>3599</v>
      </c>
      <c r="C382" s="73"/>
      <c r="D382" s="73"/>
      <c r="E382" s="73"/>
      <c r="F382" s="73"/>
      <c r="G382" s="73"/>
      <c r="H382" s="73"/>
      <c r="I382" s="73"/>
      <c r="J382" s="73"/>
      <c r="K382" s="73"/>
      <c r="L382" s="73"/>
      <c r="M382" s="73"/>
      <c r="N382" s="73"/>
      <c r="O382" s="73"/>
      <c r="P382" s="73"/>
      <c r="Q382" s="73"/>
      <c r="R382" s="73"/>
      <c r="S382" s="73"/>
      <c r="T382" s="73"/>
      <c r="U382" s="74"/>
    </row>
    <row r="383" spans="2:21" s="15" customFormat="1" x14ac:dyDescent="0.25">
      <c r="B383" s="72" t="s">
        <v>3618</v>
      </c>
      <c r="C383" s="73"/>
      <c r="D383" s="73"/>
      <c r="E383" s="73"/>
      <c r="F383" s="73"/>
      <c r="G383" s="73"/>
      <c r="H383" s="73"/>
      <c r="I383" s="73"/>
      <c r="J383" s="73"/>
      <c r="K383" s="73"/>
      <c r="L383" s="73"/>
      <c r="M383" s="73"/>
      <c r="N383" s="73"/>
      <c r="O383" s="73"/>
      <c r="P383" s="73"/>
      <c r="Q383" s="73"/>
      <c r="R383" s="73"/>
      <c r="S383" s="73"/>
      <c r="T383" s="73"/>
      <c r="U383" s="74"/>
    </row>
    <row r="384" spans="2:21" s="15" customFormat="1" x14ac:dyDescent="0.25">
      <c r="B384" s="72" t="s">
        <v>3524</v>
      </c>
      <c r="C384" s="73"/>
      <c r="D384" s="73"/>
      <c r="E384" s="73"/>
      <c r="F384" s="73"/>
      <c r="G384" s="73"/>
      <c r="H384" s="73"/>
      <c r="I384" s="73"/>
      <c r="J384" s="73"/>
      <c r="K384" s="73"/>
      <c r="L384" s="73"/>
      <c r="M384" s="73"/>
      <c r="N384" s="73"/>
      <c r="O384" s="73"/>
      <c r="P384" s="73"/>
      <c r="Q384" s="73"/>
      <c r="R384" s="73"/>
      <c r="S384" s="73"/>
      <c r="T384" s="73"/>
      <c r="U384" s="74"/>
    </row>
    <row r="385" spans="2:21" s="15" customFormat="1" x14ac:dyDescent="0.25">
      <c r="B385" s="72" t="s">
        <v>3525</v>
      </c>
      <c r="C385" s="73"/>
      <c r="D385" s="73"/>
      <c r="E385" s="73"/>
      <c r="F385" s="73"/>
      <c r="G385" s="73"/>
      <c r="H385" s="73"/>
      <c r="I385" s="73"/>
      <c r="J385" s="73"/>
      <c r="K385" s="73"/>
      <c r="L385" s="73"/>
      <c r="M385" s="73"/>
      <c r="N385" s="73"/>
      <c r="O385" s="73"/>
      <c r="P385" s="73"/>
      <c r="Q385" s="73"/>
      <c r="R385" s="73"/>
      <c r="S385" s="73"/>
      <c r="T385" s="73"/>
      <c r="U385" s="74"/>
    </row>
    <row r="386" spans="2:21" s="15" customFormat="1" x14ac:dyDescent="0.25">
      <c r="B386" s="72" t="s">
        <v>3526</v>
      </c>
      <c r="C386" s="73"/>
      <c r="D386" s="73"/>
      <c r="E386" s="73"/>
      <c r="F386" s="73"/>
      <c r="G386" s="73"/>
      <c r="H386" s="73"/>
      <c r="I386" s="73"/>
      <c r="J386" s="73"/>
      <c r="K386" s="73"/>
      <c r="L386" s="73"/>
      <c r="M386" s="73"/>
      <c r="N386" s="73"/>
      <c r="O386" s="73"/>
      <c r="P386" s="73"/>
      <c r="Q386" s="73"/>
      <c r="R386" s="73"/>
      <c r="S386" s="73"/>
      <c r="T386" s="73"/>
      <c r="U386" s="74"/>
    </row>
    <row r="387" spans="2:21" s="15" customFormat="1" x14ac:dyDescent="0.25">
      <c r="B387" s="72" t="s">
        <v>3619</v>
      </c>
      <c r="C387" s="73"/>
      <c r="D387" s="73"/>
      <c r="E387" s="73"/>
      <c r="F387" s="73"/>
      <c r="G387" s="73"/>
      <c r="H387" s="73"/>
      <c r="I387" s="73"/>
      <c r="J387" s="73"/>
      <c r="K387" s="73"/>
      <c r="L387" s="73"/>
      <c r="M387" s="73"/>
      <c r="N387" s="73"/>
      <c r="O387" s="73"/>
      <c r="P387" s="73"/>
      <c r="Q387" s="73"/>
      <c r="R387" s="73"/>
      <c r="S387" s="73"/>
      <c r="T387" s="73"/>
      <c r="U387" s="74"/>
    </row>
    <row r="388" spans="2:21" s="15" customFormat="1" x14ac:dyDescent="0.25">
      <c r="B388" s="72" t="s">
        <v>3058</v>
      </c>
      <c r="C388" s="73"/>
      <c r="D388" s="73"/>
      <c r="E388" s="73"/>
      <c r="F388" s="73"/>
      <c r="G388" s="73"/>
      <c r="H388" s="73"/>
      <c r="I388" s="73"/>
      <c r="J388" s="73"/>
      <c r="K388" s="73"/>
      <c r="L388" s="73"/>
      <c r="M388" s="73"/>
      <c r="N388" s="73"/>
      <c r="O388" s="73"/>
      <c r="P388" s="73"/>
      <c r="Q388" s="73"/>
      <c r="R388" s="73"/>
      <c r="S388" s="73"/>
      <c r="T388" s="73"/>
      <c r="U388" s="74"/>
    </row>
    <row r="389" spans="2:21" s="15" customFormat="1" x14ac:dyDescent="0.25">
      <c r="B389" s="72" t="s">
        <v>3162</v>
      </c>
      <c r="C389" s="73"/>
      <c r="D389" s="73"/>
      <c r="E389" s="73"/>
      <c r="F389" s="73"/>
      <c r="G389" s="73"/>
      <c r="H389" s="73"/>
      <c r="I389" s="73"/>
      <c r="J389" s="73"/>
      <c r="K389" s="73"/>
      <c r="L389" s="73"/>
      <c r="M389" s="73"/>
      <c r="N389" s="73"/>
      <c r="O389" s="73"/>
      <c r="P389" s="73"/>
      <c r="Q389" s="73"/>
      <c r="R389" s="73"/>
      <c r="S389" s="73"/>
      <c r="T389" s="73"/>
      <c r="U389" s="74"/>
    </row>
    <row r="390" spans="2:21" s="15" customFormat="1" x14ac:dyDescent="0.25">
      <c r="B390" s="72" t="s">
        <v>3085</v>
      </c>
      <c r="C390" s="73"/>
      <c r="D390" s="73"/>
      <c r="E390" s="73"/>
      <c r="F390" s="73"/>
      <c r="G390" s="73"/>
      <c r="H390" s="73"/>
      <c r="I390" s="73"/>
      <c r="J390" s="73"/>
      <c r="K390" s="73"/>
      <c r="L390" s="73"/>
      <c r="M390" s="73"/>
      <c r="N390" s="73"/>
      <c r="O390" s="73"/>
      <c r="P390" s="73"/>
      <c r="Q390" s="73"/>
      <c r="R390" s="73"/>
      <c r="S390" s="73"/>
      <c r="T390" s="73"/>
      <c r="U390" s="74"/>
    </row>
    <row r="391" spans="2:21" s="15" customFormat="1" x14ac:dyDescent="0.25">
      <c r="B391" s="72" t="s">
        <v>3163</v>
      </c>
      <c r="C391" s="73"/>
      <c r="D391" s="73"/>
      <c r="E391" s="73"/>
      <c r="F391" s="73"/>
      <c r="G391" s="73"/>
      <c r="H391" s="73"/>
      <c r="I391" s="73"/>
      <c r="J391" s="73"/>
      <c r="K391" s="73"/>
      <c r="L391" s="73"/>
      <c r="M391" s="73"/>
      <c r="N391" s="73"/>
      <c r="O391" s="73"/>
      <c r="P391" s="73"/>
      <c r="Q391" s="73"/>
      <c r="R391" s="73"/>
      <c r="S391" s="73"/>
      <c r="T391" s="73"/>
      <c r="U391" s="74"/>
    </row>
    <row r="392" spans="2:21" s="15" customFormat="1" x14ac:dyDescent="0.25">
      <c r="B392" s="72" t="s">
        <v>3620</v>
      </c>
      <c r="C392" s="73"/>
      <c r="D392" s="73"/>
      <c r="E392" s="73"/>
      <c r="F392" s="73"/>
      <c r="G392" s="73"/>
      <c r="H392" s="73"/>
      <c r="I392" s="73"/>
      <c r="J392" s="73"/>
      <c r="K392" s="73"/>
      <c r="L392" s="73"/>
      <c r="M392" s="73"/>
      <c r="N392" s="73"/>
      <c r="O392" s="73"/>
      <c r="P392" s="73"/>
      <c r="Q392" s="73"/>
      <c r="R392" s="73"/>
      <c r="S392" s="73"/>
      <c r="T392" s="73"/>
      <c r="U392" s="74"/>
    </row>
    <row r="393" spans="2:21" s="15" customFormat="1" x14ac:dyDescent="0.25">
      <c r="B393" s="72" t="s">
        <v>3083</v>
      </c>
      <c r="C393" s="73"/>
      <c r="D393" s="73"/>
      <c r="E393" s="73"/>
      <c r="F393" s="73"/>
      <c r="G393" s="73"/>
      <c r="H393" s="73"/>
      <c r="I393" s="73"/>
      <c r="J393" s="73"/>
      <c r="K393" s="73"/>
      <c r="L393" s="73"/>
      <c r="M393" s="73"/>
      <c r="N393" s="73"/>
      <c r="O393" s="73"/>
      <c r="P393" s="73"/>
      <c r="Q393" s="73"/>
      <c r="R393" s="73"/>
      <c r="S393" s="73"/>
      <c r="T393" s="73"/>
      <c r="U393" s="74"/>
    </row>
    <row r="394" spans="2:21" s="15" customFormat="1" x14ac:dyDescent="0.25">
      <c r="B394" s="72" t="s">
        <v>3093</v>
      </c>
      <c r="C394" s="73"/>
      <c r="D394" s="73"/>
      <c r="E394" s="73"/>
      <c r="F394" s="73"/>
      <c r="G394" s="73"/>
      <c r="H394" s="73"/>
      <c r="I394" s="73"/>
      <c r="J394" s="73"/>
      <c r="K394" s="73"/>
      <c r="L394" s="73"/>
      <c r="M394" s="73"/>
      <c r="N394" s="73"/>
      <c r="O394" s="73"/>
      <c r="P394" s="73"/>
      <c r="Q394" s="73"/>
      <c r="R394" s="73"/>
      <c r="S394" s="73"/>
      <c r="T394" s="73"/>
      <c r="U394" s="74"/>
    </row>
    <row r="395" spans="2:21" s="15" customFormat="1" x14ac:dyDescent="0.25">
      <c r="B395" s="72" t="s">
        <v>3165</v>
      </c>
      <c r="C395" s="73"/>
      <c r="D395" s="73"/>
      <c r="E395" s="73"/>
      <c r="F395" s="73"/>
      <c r="G395" s="73"/>
      <c r="H395" s="73"/>
      <c r="I395" s="73"/>
      <c r="J395" s="73"/>
      <c r="K395" s="73"/>
      <c r="L395" s="73"/>
      <c r="M395" s="73"/>
      <c r="N395" s="73"/>
      <c r="O395" s="73"/>
      <c r="P395" s="73"/>
      <c r="Q395" s="73"/>
      <c r="R395" s="73"/>
      <c r="S395" s="73"/>
      <c r="T395" s="73"/>
      <c r="U395" s="74"/>
    </row>
    <row r="396" spans="2:21" s="15" customFormat="1" x14ac:dyDescent="0.25">
      <c r="B396" s="72" t="s">
        <v>3085</v>
      </c>
      <c r="C396" s="73"/>
      <c r="D396" s="73"/>
      <c r="E396" s="73"/>
      <c r="F396" s="73"/>
      <c r="G396" s="73"/>
      <c r="H396" s="73"/>
      <c r="I396" s="73"/>
      <c r="J396" s="73"/>
      <c r="K396" s="73"/>
      <c r="L396" s="73"/>
      <c r="M396" s="73"/>
      <c r="N396" s="73"/>
      <c r="O396" s="73"/>
      <c r="P396" s="73"/>
      <c r="Q396" s="73"/>
      <c r="R396" s="73"/>
      <c r="S396" s="73"/>
      <c r="T396" s="73"/>
      <c r="U396" s="74"/>
    </row>
    <row r="397" spans="2:21" s="15" customFormat="1" x14ac:dyDescent="0.25">
      <c r="B397" s="72" t="s">
        <v>3621</v>
      </c>
      <c r="C397" s="73"/>
      <c r="D397" s="73"/>
      <c r="E397" s="73"/>
      <c r="F397" s="73"/>
      <c r="G397" s="73"/>
      <c r="H397" s="73"/>
      <c r="I397" s="73"/>
      <c r="J397" s="73"/>
      <c r="K397" s="73"/>
      <c r="L397" s="73"/>
      <c r="M397" s="73"/>
      <c r="N397" s="73"/>
      <c r="O397" s="73"/>
      <c r="P397" s="73"/>
      <c r="Q397" s="73"/>
      <c r="R397" s="73"/>
      <c r="S397" s="73"/>
      <c r="T397" s="73"/>
      <c r="U397" s="74"/>
    </row>
    <row r="398" spans="2:21" s="15" customFormat="1" x14ac:dyDescent="0.25">
      <c r="B398" s="72" t="s">
        <v>3183</v>
      </c>
      <c r="C398" s="73"/>
      <c r="D398" s="73"/>
      <c r="E398" s="73"/>
      <c r="F398" s="73"/>
      <c r="G398" s="73"/>
      <c r="H398" s="73"/>
      <c r="I398" s="73"/>
      <c r="J398" s="73"/>
      <c r="K398" s="73"/>
      <c r="L398" s="73"/>
      <c r="M398" s="73"/>
      <c r="N398" s="73"/>
      <c r="O398" s="73"/>
      <c r="P398" s="73"/>
      <c r="Q398" s="73"/>
      <c r="R398" s="73"/>
      <c r="S398" s="73"/>
      <c r="T398" s="73"/>
      <c r="U398" s="74"/>
    </row>
    <row r="399" spans="2:21" s="15" customFormat="1" x14ac:dyDescent="0.25">
      <c r="B399" s="72" t="s">
        <v>3168</v>
      </c>
      <c r="C399" s="73"/>
      <c r="D399" s="73"/>
      <c r="E399" s="73"/>
      <c r="F399" s="73"/>
      <c r="G399" s="73"/>
      <c r="H399" s="73"/>
      <c r="I399" s="73"/>
      <c r="J399" s="73"/>
      <c r="K399" s="73"/>
      <c r="L399" s="73"/>
      <c r="M399" s="73"/>
      <c r="N399" s="73"/>
      <c r="O399" s="73"/>
      <c r="P399" s="73"/>
      <c r="Q399" s="73"/>
      <c r="R399" s="73"/>
      <c r="S399" s="73"/>
      <c r="T399" s="73"/>
      <c r="U399" s="74"/>
    </row>
    <row r="400" spans="2:21" s="15" customFormat="1" x14ac:dyDescent="0.25">
      <c r="B400" s="72" t="s">
        <v>3169</v>
      </c>
      <c r="C400" s="73"/>
      <c r="D400" s="73"/>
      <c r="E400" s="73"/>
      <c r="F400" s="73"/>
      <c r="G400" s="73"/>
      <c r="H400" s="73"/>
      <c r="I400" s="73"/>
      <c r="J400" s="73"/>
      <c r="K400" s="73"/>
      <c r="L400" s="73"/>
      <c r="M400" s="73"/>
      <c r="N400" s="73"/>
      <c r="O400" s="73"/>
      <c r="P400" s="73"/>
      <c r="Q400" s="73"/>
      <c r="R400" s="73"/>
      <c r="S400" s="73"/>
      <c r="T400" s="73"/>
      <c r="U400" s="74"/>
    </row>
    <row r="401" spans="2:21" s="15" customFormat="1" x14ac:dyDescent="0.25">
      <c r="B401" s="72" t="s">
        <v>3283</v>
      </c>
      <c r="C401" s="73"/>
      <c r="D401" s="73"/>
      <c r="E401" s="73"/>
      <c r="F401" s="73"/>
      <c r="G401" s="73"/>
      <c r="H401" s="73"/>
      <c r="I401" s="73"/>
      <c r="J401" s="73"/>
      <c r="K401" s="73"/>
      <c r="L401" s="73"/>
      <c r="M401" s="73"/>
      <c r="N401" s="73"/>
      <c r="O401" s="73"/>
      <c r="P401" s="73"/>
      <c r="Q401" s="73"/>
      <c r="R401" s="73"/>
      <c r="S401" s="73"/>
      <c r="T401" s="73"/>
      <c r="U401" s="74"/>
    </row>
    <row r="402" spans="2:21" s="15" customFormat="1" x14ac:dyDescent="0.25">
      <c r="B402" s="72" t="s">
        <v>3284</v>
      </c>
      <c r="C402" s="73"/>
      <c r="D402" s="73"/>
      <c r="E402" s="73"/>
      <c r="F402" s="73"/>
      <c r="G402" s="73"/>
      <c r="H402" s="73"/>
      <c r="I402" s="73"/>
      <c r="J402" s="73"/>
      <c r="K402" s="73"/>
      <c r="L402" s="73"/>
      <c r="M402" s="73"/>
      <c r="N402" s="73"/>
      <c r="O402" s="73"/>
      <c r="P402" s="73"/>
      <c r="Q402" s="73"/>
      <c r="R402" s="73"/>
      <c r="S402" s="73"/>
      <c r="T402" s="73"/>
      <c r="U402" s="74"/>
    </row>
    <row r="403" spans="2:21" s="15" customFormat="1" x14ac:dyDescent="0.25">
      <c r="B403" s="72" t="s">
        <v>3172</v>
      </c>
      <c r="C403" s="73"/>
      <c r="D403" s="73"/>
      <c r="E403" s="73"/>
      <c r="F403" s="73"/>
      <c r="G403" s="73"/>
      <c r="H403" s="73"/>
      <c r="I403" s="73"/>
      <c r="J403" s="73"/>
      <c r="K403" s="73"/>
      <c r="L403" s="73"/>
      <c r="M403" s="73"/>
      <c r="N403" s="73"/>
      <c r="O403" s="73"/>
      <c r="P403" s="73"/>
      <c r="Q403" s="73"/>
      <c r="R403" s="73"/>
      <c r="S403" s="73"/>
      <c r="T403" s="73"/>
      <c r="U403" s="74"/>
    </row>
    <row r="404" spans="2:21" s="15" customFormat="1" x14ac:dyDescent="0.25">
      <c r="B404" s="72" t="s">
        <v>3285</v>
      </c>
      <c r="C404" s="73"/>
      <c r="D404" s="73"/>
      <c r="E404" s="73"/>
      <c r="F404" s="73"/>
      <c r="G404" s="73"/>
      <c r="H404" s="73"/>
      <c r="I404" s="73"/>
      <c r="J404" s="73"/>
      <c r="K404" s="73"/>
      <c r="L404" s="73"/>
      <c r="M404" s="73"/>
      <c r="N404" s="73"/>
      <c r="O404" s="73"/>
      <c r="P404" s="73"/>
      <c r="Q404" s="73"/>
      <c r="R404" s="73"/>
      <c r="S404" s="73"/>
      <c r="T404" s="73"/>
      <c r="U404" s="74"/>
    </row>
    <row r="405" spans="2:21" s="15" customFormat="1" x14ac:dyDescent="0.25">
      <c r="B405" s="72" t="s">
        <v>3391</v>
      </c>
      <c r="C405" s="73"/>
      <c r="D405" s="73"/>
      <c r="E405" s="73"/>
      <c r="F405" s="73"/>
      <c r="G405" s="73"/>
      <c r="H405" s="73"/>
      <c r="I405" s="73"/>
      <c r="J405" s="73"/>
      <c r="K405" s="73"/>
      <c r="L405" s="73"/>
      <c r="M405" s="73"/>
      <c r="N405" s="73"/>
      <c r="O405" s="73"/>
      <c r="P405" s="73"/>
      <c r="Q405" s="73"/>
      <c r="R405" s="73"/>
      <c r="S405" s="73"/>
      <c r="T405" s="73"/>
      <c r="U405" s="74"/>
    </row>
    <row r="406" spans="2:21" s="15" customFormat="1" x14ac:dyDescent="0.25">
      <c r="B406" s="72" t="s">
        <v>3175</v>
      </c>
      <c r="C406" s="73"/>
      <c r="D406" s="73"/>
      <c r="E406" s="73"/>
      <c r="F406" s="73"/>
      <c r="G406" s="73"/>
      <c r="H406" s="73"/>
      <c r="I406" s="73"/>
      <c r="J406" s="73"/>
      <c r="K406" s="73"/>
      <c r="L406" s="73"/>
      <c r="M406" s="73"/>
      <c r="N406" s="73"/>
      <c r="O406" s="73"/>
      <c r="P406" s="73"/>
      <c r="Q406" s="73"/>
      <c r="R406" s="73"/>
      <c r="S406" s="73"/>
      <c r="T406" s="73"/>
      <c r="U406" s="74"/>
    </row>
    <row r="407" spans="2:21" s="15" customFormat="1" x14ac:dyDescent="0.25">
      <c r="B407" s="72" t="s">
        <v>3299</v>
      </c>
      <c r="C407" s="73"/>
      <c r="D407" s="73"/>
      <c r="E407" s="73"/>
      <c r="F407" s="73"/>
      <c r="G407" s="73"/>
      <c r="H407" s="73"/>
      <c r="I407" s="73"/>
      <c r="J407" s="73"/>
      <c r="K407" s="73"/>
      <c r="L407" s="73"/>
      <c r="M407" s="73"/>
      <c r="N407" s="73"/>
      <c r="O407" s="73"/>
      <c r="P407" s="73"/>
      <c r="Q407" s="73"/>
      <c r="R407" s="73"/>
      <c r="S407" s="73"/>
      <c r="T407" s="73"/>
      <c r="U407" s="74"/>
    </row>
    <row r="408" spans="2:21" s="15" customFormat="1" x14ac:dyDescent="0.25">
      <c r="B408" s="72" t="s">
        <v>3288</v>
      </c>
      <c r="C408" s="73"/>
      <c r="D408" s="73"/>
      <c r="E408" s="73"/>
      <c r="F408" s="73"/>
      <c r="G408" s="73"/>
      <c r="H408" s="73"/>
      <c r="I408" s="73"/>
      <c r="J408" s="73"/>
      <c r="K408" s="73"/>
      <c r="L408" s="73"/>
      <c r="M408" s="73"/>
      <c r="N408" s="73"/>
      <c r="O408" s="73"/>
      <c r="P408" s="73"/>
      <c r="Q408" s="73"/>
      <c r="R408" s="73"/>
      <c r="S408" s="73"/>
      <c r="T408" s="73"/>
      <c r="U408" s="74"/>
    </row>
    <row r="409" spans="2:21" s="15" customFormat="1" x14ac:dyDescent="0.25">
      <c r="B409" s="72" t="s">
        <v>3289</v>
      </c>
      <c r="C409" s="73"/>
      <c r="D409" s="73"/>
      <c r="E409" s="73"/>
      <c r="F409" s="73"/>
      <c r="G409" s="73"/>
      <c r="H409" s="73"/>
      <c r="I409" s="73"/>
      <c r="J409" s="73"/>
      <c r="K409" s="73"/>
      <c r="L409" s="73"/>
      <c r="M409" s="73"/>
      <c r="N409" s="73"/>
      <c r="O409" s="73"/>
      <c r="P409" s="73"/>
      <c r="Q409" s="73"/>
      <c r="R409" s="73"/>
      <c r="S409" s="73"/>
      <c r="T409" s="73"/>
      <c r="U409" s="74"/>
    </row>
    <row r="410" spans="2:21" s="15" customFormat="1" x14ac:dyDescent="0.25">
      <c r="B410" s="72" t="s">
        <v>3179</v>
      </c>
      <c r="C410" s="73"/>
      <c r="D410" s="73"/>
      <c r="E410" s="73"/>
      <c r="F410" s="73"/>
      <c r="G410" s="73"/>
      <c r="H410" s="73"/>
      <c r="I410" s="73"/>
      <c r="J410" s="73"/>
      <c r="K410" s="73"/>
      <c r="L410" s="73"/>
      <c r="M410" s="73"/>
      <c r="N410" s="73"/>
      <c r="O410" s="73"/>
      <c r="P410" s="73"/>
      <c r="Q410" s="73"/>
      <c r="R410" s="73"/>
      <c r="S410" s="73"/>
      <c r="T410" s="73"/>
      <c r="U410" s="74"/>
    </row>
    <row r="411" spans="2:21" s="15" customFormat="1" x14ac:dyDescent="0.25">
      <c r="B411" s="72" t="s">
        <v>3293</v>
      </c>
      <c r="C411" s="73"/>
      <c r="D411" s="73"/>
      <c r="E411" s="73"/>
      <c r="F411" s="73"/>
      <c r="G411" s="73"/>
      <c r="H411" s="73"/>
      <c r="I411" s="73"/>
      <c r="J411" s="73"/>
      <c r="K411" s="73"/>
      <c r="L411" s="73"/>
      <c r="M411" s="73"/>
      <c r="N411" s="73"/>
      <c r="O411" s="73"/>
      <c r="P411" s="73"/>
      <c r="Q411" s="73"/>
      <c r="R411" s="73"/>
      <c r="S411" s="73"/>
      <c r="T411" s="73"/>
      <c r="U411" s="74"/>
    </row>
    <row r="412" spans="2:21" s="15" customFormat="1" x14ac:dyDescent="0.25">
      <c r="B412" s="72" t="s">
        <v>3181</v>
      </c>
      <c r="C412" s="73"/>
      <c r="D412" s="73"/>
      <c r="E412" s="73"/>
      <c r="F412" s="73"/>
      <c r="G412" s="73"/>
      <c r="H412" s="73"/>
      <c r="I412" s="73"/>
      <c r="J412" s="73"/>
      <c r="K412" s="73"/>
      <c r="L412" s="73"/>
      <c r="M412" s="73"/>
      <c r="N412" s="73"/>
      <c r="O412" s="73"/>
      <c r="P412" s="73"/>
      <c r="Q412" s="73"/>
      <c r="R412" s="73"/>
      <c r="S412" s="73"/>
      <c r="T412" s="73"/>
      <c r="U412" s="74"/>
    </row>
    <row r="413" spans="2:21" s="15" customFormat="1" x14ac:dyDescent="0.25">
      <c r="B413" s="72" t="s">
        <v>3085</v>
      </c>
      <c r="C413" s="73"/>
      <c r="D413" s="73"/>
      <c r="E413" s="73"/>
      <c r="F413" s="73"/>
      <c r="G413" s="73"/>
      <c r="H413" s="73"/>
      <c r="I413" s="73"/>
      <c r="J413" s="73"/>
      <c r="K413" s="73"/>
      <c r="L413" s="73"/>
      <c r="M413" s="73"/>
      <c r="N413" s="73"/>
      <c r="O413" s="73"/>
      <c r="P413" s="73"/>
      <c r="Q413" s="73"/>
      <c r="R413" s="73"/>
      <c r="S413" s="73"/>
      <c r="T413" s="73"/>
      <c r="U413" s="74"/>
    </row>
    <row r="414" spans="2:21" s="15" customFormat="1" x14ac:dyDescent="0.25">
      <c r="B414" s="72" t="s">
        <v>3621</v>
      </c>
      <c r="C414" s="73"/>
      <c r="D414" s="73"/>
      <c r="E414" s="73"/>
      <c r="F414" s="73"/>
      <c r="G414" s="73"/>
      <c r="H414" s="73"/>
      <c r="I414" s="73"/>
      <c r="J414" s="73"/>
      <c r="K414" s="73"/>
      <c r="L414" s="73"/>
      <c r="M414" s="73"/>
      <c r="N414" s="73"/>
      <c r="O414" s="73"/>
      <c r="P414" s="73"/>
      <c r="Q414" s="73"/>
      <c r="R414" s="73"/>
      <c r="S414" s="73"/>
      <c r="T414" s="73"/>
      <c r="U414" s="74"/>
    </row>
    <row r="415" spans="2:21" s="15" customFormat="1" x14ac:dyDescent="0.25">
      <c r="B415" s="72" t="s">
        <v>3203</v>
      </c>
      <c r="C415" s="73"/>
      <c r="D415" s="73"/>
      <c r="E415" s="73"/>
      <c r="F415" s="73"/>
      <c r="G415" s="73"/>
      <c r="H415" s="73"/>
      <c r="I415" s="73"/>
      <c r="J415" s="73"/>
      <c r="K415" s="73"/>
      <c r="L415" s="73"/>
      <c r="M415" s="73"/>
      <c r="N415" s="73"/>
      <c r="O415" s="73"/>
      <c r="P415" s="73"/>
      <c r="Q415" s="73"/>
      <c r="R415" s="73"/>
      <c r="S415" s="73"/>
      <c r="T415" s="73"/>
      <c r="U415" s="74"/>
    </row>
    <row r="416" spans="2:21" s="15" customFormat="1" x14ac:dyDescent="0.25">
      <c r="B416" s="72" t="s">
        <v>3168</v>
      </c>
      <c r="C416" s="73"/>
      <c r="D416" s="73"/>
      <c r="E416" s="73"/>
      <c r="F416" s="73"/>
      <c r="G416" s="73"/>
      <c r="H416" s="73"/>
      <c r="I416" s="73"/>
      <c r="J416" s="73"/>
      <c r="K416" s="73"/>
      <c r="L416" s="73"/>
      <c r="M416" s="73"/>
      <c r="N416" s="73"/>
      <c r="O416" s="73"/>
      <c r="P416" s="73"/>
      <c r="Q416" s="73"/>
      <c r="R416" s="73"/>
      <c r="S416" s="73"/>
      <c r="T416" s="73"/>
      <c r="U416" s="74"/>
    </row>
    <row r="417" spans="2:21" s="15" customFormat="1" x14ac:dyDescent="0.25">
      <c r="B417" s="72" t="s">
        <v>3169</v>
      </c>
      <c r="C417" s="73"/>
      <c r="D417" s="73"/>
      <c r="E417" s="73"/>
      <c r="F417" s="73"/>
      <c r="G417" s="73"/>
      <c r="H417" s="73"/>
      <c r="I417" s="73"/>
      <c r="J417" s="73"/>
      <c r="K417" s="73"/>
      <c r="L417" s="73"/>
      <c r="M417" s="73"/>
      <c r="N417" s="73"/>
      <c r="O417" s="73"/>
      <c r="P417" s="73"/>
      <c r="Q417" s="73"/>
      <c r="R417" s="73"/>
      <c r="S417" s="73"/>
      <c r="T417" s="73"/>
      <c r="U417" s="74"/>
    </row>
    <row r="418" spans="2:21" s="15" customFormat="1" x14ac:dyDescent="0.25">
      <c r="B418" s="72" t="s">
        <v>3170</v>
      </c>
      <c r="C418" s="73"/>
      <c r="D418" s="73"/>
      <c r="E418" s="73"/>
      <c r="F418" s="73"/>
      <c r="G418" s="73"/>
      <c r="H418" s="73"/>
      <c r="I418" s="73"/>
      <c r="J418" s="73"/>
      <c r="K418" s="73"/>
      <c r="L418" s="73"/>
      <c r="M418" s="73"/>
      <c r="N418" s="73"/>
      <c r="O418" s="73"/>
      <c r="P418" s="73"/>
      <c r="Q418" s="73"/>
      <c r="R418" s="73"/>
      <c r="S418" s="73"/>
      <c r="T418" s="73"/>
      <c r="U418" s="74"/>
    </row>
    <row r="419" spans="2:21" s="15" customFormat="1" x14ac:dyDescent="0.25">
      <c r="B419" s="72" t="s">
        <v>3530</v>
      </c>
      <c r="C419" s="73"/>
      <c r="D419" s="73"/>
      <c r="E419" s="73"/>
      <c r="F419" s="73"/>
      <c r="G419" s="73"/>
      <c r="H419" s="73"/>
      <c r="I419" s="73"/>
      <c r="J419" s="73"/>
      <c r="K419" s="73"/>
      <c r="L419" s="73"/>
      <c r="M419" s="73"/>
      <c r="N419" s="73"/>
      <c r="O419" s="73"/>
      <c r="P419" s="73"/>
      <c r="Q419" s="73"/>
      <c r="R419" s="73"/>
      <c r="S419" s="73"/>
      <c r="T419" s="73"/>
      <c r="U419" s="74"/>
    </row>
    <row r="420" spans="2:21" s="15" customFormat="1" x14ac:dyDescent="0.25">
      <c r="B420" s="72" t="s">
        <v>3172</v>
      </c>
      <c r="C420" s="73"/>
      <c r="D420" s="73"/>
      <c r="E420" s="73"/>
      <c r="F420" s="73"/>
      <c r="G420" s="73"/>
      <c r="H420" s="73"/>
      <c r="I420" s="73"/>
      <c r="J420" s="73"/>
      <c r="K420" s="73"/>
      <c r="L420" s="73"/>
      <c r="M420" s="73"/>
      <c r="N420" s="73"/>
      <c r="O420" s="73"/>
      <c r="P420" s="73"/>
      <c r="Q420" s="73"/>
      <c r="R420" s="73"/>
      <c r="S420" s="73"/>
      <c r="T420" s="73"/>
      <c r="U420" s="74"/>
    </row>
    <row r="421" spans="2:21" s="15" customFormat="1" x14ac:dyDescent="0.25">
      <c r="B421" s="72" t="s">
        <v>3285</v>
      </c>
      <c r="C421" s="73"/>
      <c r="D421" s="73"/>
      <c r="E421" s="73"/>
      <c r="F421" s="73"/>
      <c r="G421" s="73"/>
      <c r="H421" s="73"/>
      <c r="I421" s="73"/>
      <c r="J421" s="73"/>
      <c r="K421" s="73"/>
      <c r="L421" s="73"/>
      <c r="M421" s="73"/>
      <c r="N421" s="73"/>
      <c r="O421" s="73"/>
      <c r="P421" s="73"/>
      <c r="Q421" s="73"/>
      <c r="R421" s="73"/>
      <c r="S421" s="73"/>
      <c r="T421" s="73"/>
      <c r="U421" s="74"/>
    </row>
    <row r="422" spans="2:21" s="15" customFormat="1" x14ac:dyDescent="0.25">
      <c r="B422" s="72" t="s">
        <v>3391</v>
      </c>
      <c r="C422" s="73"/>
      <c r="D422" s="73"/>
      <c r="E422" s="73"/>
      <c r="F422" s="73"/>
      <c r="G422" s="73"/>
      <c r="H422" s="73"/>
      <c r="I422" s="73"/>
      <c r="J422" s="73"/>
      <c r="K422" s="73"/>
      <c r="L422" s="73"/>
      <c r="M422" s="73"/>
      <c r="N422" s="73"/>
      <c r="O422" s="73"/>
      <c r="P422" s="73"/>
      <c r="Q422" s="73"/>
      <c r="R422" s="73"/>
      <c r="S422" s="73"/>
      <c r="T422" s="73"/>
      <c r="U422" s="74"/>
    </row>
    <row r="423" spans="2:21" s="15" customFormat="1" x14ac:dyDescent="0.25">
      <c r="B423" s="72" t="s">
        <v>3287</v>
      </c>
      <c r="C423" s="73"/>
      <c r="D423" s="73"/>
      <c r="E423" s="73"/>
      <c r="F423" s="73"/>
      <c r="G423" s="73"/>
      <c r="H423" s="73"/>
      <c r="I423" s="73"/>
      <c r="J423" s="73"/>
      <c r="K423" s="73"/>
      <c r="L423" s="73"/>
      <c r="M423" s="73"/>
      <c r="N423" s="73"/>
      <c r="O423" s="73"/>
      <c r="P423" s="73"/>
      <c r="Q423" s="73"/>
      <c r="R423" s="73"/>
      <c r="S423" s="73"/>
      <c r="T423" s="73"/>
      <c r="U423" s="74"/>
    </row>
    <row r="424" spans="2:21" s="15" customFormat="1" x14ac:dyDescent="0.25">
      <c r="B424" s="72" t="s">
        <v>3176</v>
      </c>
      <c r="C424" s="73"/>
      <c r="D424" s="73"/>
      <c r="E424" s="73"/>
      <c r="F424" s="73"/>
      <c r="G424" s="73"/>
      <c r="H424" s="73"/>
      <c r="I424" s="73"/>
      <c r="J424" s="73"/>
      <c r="K424" s="73"/>
      <c r="L424" s="73"/>
      <c r="M424" s="73"/>
      <c r="N424" s="73"/>
      <c r="O424" s="73"/>
      <c r="P424" s="73"/>
      <c r="Q424" s="73"/>
      <c r="R424" s="73"/>
      <c r="S424" s="73"/>
      <c r="T424" s="73"/>
      <c r="U424" s="74"/>
    </row>
    <row r="425" spans="2:21" s="15" customFormat="1" x14ac:dyDescent="0.25">
      <c r="B425" s="72" t="s">
        <v>3288</v>
      </c>
      <c r="C425" s="73"/>
      <c r="D425" s="73"/>
      <c r="E425" s="73"/>
      <c r="F425" s="73"/>
      <c r="G425" s="73"/>
      <c r="H425" s="73"/>
      <c r="I425" s="73"/>
      <c r="J425" s="73"/>
      <c r="K425" s="73"/>
      <c r="L425" s="73"/>
      <c r="M425" s="73"/>
      <c r="N425" s="73"/>
      <c r="O425" s="73"/>
      <c r="P425" s="73"/>
      <c r="Q425" s="73"/>
      <c r="R425" s="73"/>
      <c r="S425" s="73"/>
      <c r="T425" s="73"/>
      <c r="U425" s="74"/>
    </row>
    <row r="426" spans="2:21" s="15" customFormat="1" x14ac:dyDescent="0.25">
      <c r="B426" s="72" t="s">
        <v>3289</v>
      </c>
      <c r="C426" s="73"/>
      <c r="D426" s="73"/>
      <c r="E426" s="73"/>
      <c r="F426" s="73"/>
      <c r="G426" s="73"/>
      <c r="H426" s="73"/>
      <c r="I426" s="73"/>
      <c r="J426" s="73"/>
      <c r="K426" s="73"/>
      <c r="L426" s="73"/>
      <c r="M426" s="73"/>
      <c r="N426" s="73"/>
      <c r="O426" s="73"/>
      <c r="P426" s="73"/>
      <c r="Q426" s="73"/>
      <c r="R426" s="73"/>
      <c r="S426" s="73"/>
      <c r="T426" s="73"/>
      <c r="U426" s="74"/>
    </row>
    <row r="427" spans="2:21" s="15" customFormat="1" x14ac:dyDescent="0.25">
      <c r="B427" s="72" t="s">
        <v>3294</v>
      </c>
      <c r="C427" s="73"/>
      <c r="D427" s="73"/>
      <c r="E427" s="73"/>
      <c r="F427" s="73"/>
      <c r="G427" s="73"/>
      <c r="H427" s="73"/>
      <c r="I427" s="73"/>
      <c r="J427" s="73"/>
      <c r="K427" s="73"/>
      <c r="L427" s="73"/>
      <c r="M427" s="73"/>
      <c r="N427" s="73"/>
      <c r="O427" s="73"/>
      <c r="P427" s="73"/>
      <c r="Q427" s="73"/>
      <c r="R427" s="73"/>
      <c r="S427" s="73"/>
      <c r="T427" s="73"/>
      <c r="U427" s="74"/>
    </row>
    <row r="428" spans="2:21" s="15" customFormat="1" x14ac:dyDescent="0.25">
      <c r="B428" s="72" t="s">
        <v>3293</v>
      </c>
      <c r="C428" s="73"/>
      <c r="D428" s="73"/>
      <c r="E428" s="73"/>
      <c r="F428" s="73"/>
      <c r="G428" s="73"/>
      <c r="H428" s="73"/>
      <c r="I428" s="73"/>
      <c r="J428" s="73"/>
      <c r="K428" s="73"/>
      <c r="L428" s="73"/>
      <c r="M428" s="73"/>
      <c r="N428" s="73"/>
      <c r="O428" s="73"/>
      <c r="P428" s="73"/>
      <c r="Q428" s="73"/>
      <c r="R428" s="73"/>
      <c r="S428" s="73"/>
      <c r="T428" s="73"/>
      <c r="U428" s="74"/>
    </row>
    <row r="429" spans="2:21" s="15" customFormat="1" x14ac:dyDescent="0.25">
      <c r="B429" s="72" t="s">
        <v>3181</v>
      </c>
      <c r="C429" s="73"/>
      <c r="D429" s="73"/>
      <c r="E429" s="73"/>
      <c r="F429" s="73"/>
      <c r="G429" s="73"/>
      <c r="H429" s="73"/>
      <c r="I429" s="73"/>
      <c r="J429" s="73"/>
      <c r="K429" s="73"/>
      <c r="L429" s="73"/>
      <c r="M429" s="73"/>
      <c r="N429" s="73"/>
      <c r="O429" s="73"/>
      <c r="P429" s="73"/>
      <c r="Q429" s="73"/>
      <c r="R429" s="73"/>
      <c r="S429" s="73"/>
      <c r="T429" s="73"/>
      <c r="U429" s="74"/>
    </row>
    <row r="430" spans="2:21" s="15" customFormat="1" x14ac:dyDescent="0.25">
      <c r="B430" s="72" t="s">
        <v>3085</v>
      </c>
      <c r="C430" s="73"/>
      <c r="D430" s="73"/>
      <c r="E430" s="73"/>
      <c r="F430" s="73"/>
      <c r="G430" s="73"/>
      <c r="H430" s="73"/>
      <c r="I430" s="73"/>
      <c r="J430" s="73"/>
      <c r="K430" s="73"/>
      <c r="L430" s="73"/>
      <c r="M430" s="73"/>
      <c r="N430" s="73"/>
      <c r="O430" s="73"/>
      <c r="P430" s="73"/>
      <c r="Q430" s="73"/>
      <c r="R430" s="73"/>
      <c r="S430" s="73"/>
      <c r="T430" s="73"/>
      <c r="U430" s="74"/>
    </row>
    <row r="431" spans="2:21" s="15" customFormat="1" x14ac:dyDescent="0.25">
      <c r="B431" s="72" t="s">
        <v>3621</v>
      </c>
      <c r="C431" s="73"/>
      <c r="D431" s="73"/>
      <c r="E431" s="73"/>
      <c r="F431" s="73"/>
      <c r="G431" s="73"/>
      <c r="H431" s="73"/>
      <c r="I431" s="73"/>
      <c r="J431" s="73"/>
      <c r="K431" s="73"/>
      <c r="L431" s="73"/>
      <c r="M431" s="73"/>
      <c r="N431" s="73"/>
      <c r="O431" s="73"/>
      <c r="P431" s="73"/>
      <c r="Q431" s="73"/>
      <c r="R431" s="73"/>
      <c r="S431" s="73"/>
      <c r="T431" s="73"/>
      <c r="U431" s="74"/>
    </row>
    <row r="432" spans="2:21" s="15" customFormat="1" x14ac:dyDescent="0.25">
      <c r="B432" s="72" t="s">
        <v>3167</v>
      </c>
      <c r="C432" s="73"/>
      <c r="D432" s="73"/>
      <c r="E432" s="73"/>
      <c r="F432" s="73"/>
      <c r="G432" s="73"/>
      <c r="H432" s="73"/>
      <c r="I432" s="73"/>
      <c r="J432" s="73"/>
      <c r="K432" s="73"/>
      <c r="L432" s="73"/>
      <c r="M432" s="73"/>
      <c r="N432" s="73"/>
      <c r="O432" s="73"/>
      <c r="P432" s="73"/>
      <c r="Q432" s="73"/>
      <c r="R432" s="73"/>
      <c r="S432" s="73"/>
      <c r="T432" s="73"/>
      <c r="U432" s="74"/>
    </row>
    <row r="433" spans="2:21" s="15" customFormat="1" x14ac:dyDescent="0.25">
      <c r="B433" s="72" t="s">
        <v>3168</v>
      </c>
      <c r="C433" s="73"/>
      <c r="D433" s="73"/>
      <c r="E433" s="73"/>
      <c r="F433" s="73"/>
      <c r="G433" s="73"/>
      <c r="H433" s="73"/>
      <c r="I433" s="73"/>
      <c r="J433" s="73"/>
      <c r="K433" s="73"/>
      <c r="L433" s="73"/>
      <c r="M433" s="73"/>
      <c r="N433" s="73"/>
      <c r="O433" s="73"/>
      <c r="P433" s="73"/>
      <c r="Q433" s="73"/>
      <c r="R433" s="73"/>
      <c r="S433" s="73"/>
      <c r="T433" s="73"/>
      <c r="U433" s="74"/>
    </row>
    <row r="434" spans="2:21" s="15" customFormat="1" x14ac:dyDescent="0.25">
      <c r="B434" s="72" t="s">
        <v>3169</v>
      </c>
      <c r="C434" s="73"/>
      <c r="D434" s="73"/>
      <c r="E434" s="73"/>
      <c r="F434" s="73"/>
      <c r="G434" s="73"/>
      <c r="H434" s="73"/>
      <c r="I434" s="73"/>
      <c r="J434" s="73"/>
      <c r="K434" s="73"/>
      <c r="L434" s="73"/>
      <c r="M434" s="73"/>
      <c r="N434" s="73"/>
      <c r="O434" s="73"/>
      <c r="P434" s="73"/>
      <c r="Q434" s="73"/>
      <c r="R434" s="73"/>
      <c r="S434" s="73"/>
      <c r="T434" s="73"/>
      <c r="U434" s="74"/>
    </row>
    <row r="435" spans="2:21" s="15" customFormat="1" x14ac:dyDescent="0.25">
      <c r="B435" s="72" t="s">
        <v>3170</v>
      </c>
      <c r="C435" s="73"/>
      <c r="D435" s="73"/>
      <c r="E435" s="73"/>
      <c r="F435" s="73"/>
      <c r="G435" s="73"/>
      <c r="H435" s="73"/>
      <c r="I435" s="73"/>
      <c r="J435" s="73"/>
      <c r="K435" s="73"/>
      <c r="L435" s="73"/>
      <c r="M435" s="73"/>
      <c r="N435" s="73"/>
      <c r="O435" s="73"/>
      <c r="P435" s="73"/>
      <c r="Q435" s="73"/>
      <c r="R435" s="73"/>
      <c r="S435" s="73"/>
      <c r="T435" s="73"/>
      <c r="U435" s="74"/>
    </row>
    <row r="436" spans="2:21" s="15" customFormat="1" x14ac:dyDescent="0.25">
      <c r="B436" s="72" t="s">
        <v>3284</v>
      </c>
      <c r="C436" s="73"/>
      <c r="D436" s="73"/>
      <c r="E436" s="73"/>
      <c r="F436" s="73"/>
      <c r="G436" s="73"/>
      <c r="H436" s="73"/>
      <c r="I436" s="73"/>
      <c r="J436" s="73"/>
      <c r="K436" s="73"/>
      <c r="L436" s="73"/>
      <c r="M436" s="73"/>
      <c r="N436" s="73"/>
      <c r="O436" s="73"/>
      <c r="P436" s="73"/>
      <c r="Q436" s="73"/>
      <c r="R436" s="73"/>
      <c r="S436" s="73"/>
      <c r="T436" s="73"/>
      <c r="U436" s="74"/>
    </row>
    <row r="437" spans="2:21" s="15" customFormat="1" x14ac:dyDescent="0.25">
      <c r="B437" s="72" t="s">
        <v>3172</v>
      </c>
      <c r="C437" s="73"/>
      <c r="D437" s="73"/>
      <c r="E437" s="73"/>
      <c r="F437" s="73"/>
      <c r="G437" s="73"/>
      <c r="H437" s="73"/>
      <c r="I437" s="73"/>
      <c r="J437" s="73"/>
      <c r="K437" s="73"/>
      <c r="L437" s="73"/>
      <c r="M437" s="73"/>
      <c r="N437" s="73"/>
      <c r="O437" s="73"/>
      <c r="P437" s="73"/>
      <c r="Q437" s="73"/>
      <c r="R437" s="73"/>
      <c r="S437" s="73"/>
      <c r="T437" s="73"/>
      <c r="U437" s="74"/>
    </row>
    <row r="438" spans="2:21" s="15" customFormat="1" x14ac:dyDescent="0.25">
      <c r="B438" s="72" t="s">
        <v>3285</v>
      </c>
      <c r="C438" s="73"/>
      <c r="D438" s="73"/>
      <c r="E438" s="73"/>
      <c r="F438" s="73"/>
      <c r="G438" s="73"/>
      <c r="H438" s="73"/>
      <c r="I438" s="73"/>
      <c r="J438" s="73"/>
      <c r="K438" s="73"/>
      <c r="L438" s="73"/>
      <c r="M438" s="73"/>
      <c r="N438" s="73"/>
      <c r="O438" s="73"/>
      <c r="P438" s="73"/>
      <c r="Q438" s="73"/>
      <c r="R438" s="73"/>
      <c r="S438" s="73"/>
      <c r="T438" s="73"/>
      <c r="U438" s="74"/>
    </row>
    <row r="439" spans="2:21" s="15" customFormat="1" x14ac:dyDescent="0.25">
      <c r="B439" s="72" t="s">
        <v>3286</v>
      </c>
      <c r="C439" s="73"/>
      <c r="D439" s="73"/>
      <c r="E439" s="73"/>
      <c r="F439" s="73"/>
      <c r="G439" s="73"/>
      <c r="H439" s="73"/>
      <c r="I439" s="73"/>
      <c r="J439" s="73"/>
      <c r="K439" s="73"/>
      <c r="L439" s="73"/>
      <c r="M439" s="73"/>
      <c r="N439" s="73"/>
      <c r="O439" s="73"/>
      <c r="P439" s="73"/>
      <c r="Q439" s="73"/>
      <c r="R439" s="73"/>
      <c r="S439" s="73"/>
      <c r="T439" s="73"/>
      <c r="U439" s="74"/>
    </row>
    <row r="440" spans="2:21" s="15" customFormat="1" x14ac:dyDescent="0.25">
      <c r="B440" s="72" t="s">
        <v>3175</v>
      </c>
      <c r="C440" s="73"/>
      <c r="D440" s="73"/>
      <c r="E440" s="73"/>
      <c r="F440" s="73"/>
      <c r="G440" s="73"/>
      <c r="H440" s="73"/>
      <c r="I440" s="73"/>
      <c r="J440" s="73"/>
      <c r="K440" s="73"/>
      <c r="L440" s="73"/>
      <c r="M440" s="73"/>
      <c r="N440" s="73"/>
      <c r="O440" s="73"/>
      <c r="P440" s="73"/>
      <c r="Q440" s="73"/>
      <c r="R440" s="73"/>
      <c r="S440" s="73"/>
      <c r="T440" s="73"/>
      <c r="U440" s="74"/>
    </row>
    <row r="441" spans="2:21" s="15" customFormat="1" x14ac:dyDescent="0.25">
      <c r="B441" s="72" t="s">
        <v>3299</v>
      </c>
      <c r="C441" s="73"/>
      <c r="D441" s="73"/>
      <c r="E441" s="73"/>
      <c r="F441" s="73"/>
      <c r="G441" s="73"/>
      <c r="H441" s="73"/>
      <c r="I441" s="73"/>
      <c r="J441" s="73"/>
      <c r="K441" s="73"/>
      <c r="L441" s="73"/>
      <c r="M441" s="73"/>
      <c r="N441" s="73"/>
      <c r="O441" s="73"/>
      <c r="P441" s="73"/>
      <c r="Q441" s="73"/>
      <c r="R441" s="73"/>
      <c r="S441" s="73"/>
      <c r="T441" s="73"/>
      <c r="U441" s="74"/>
    </row>
    <row r="442" spans="2:21" s="15" customFormat="1" x14ac:dyDescent="0.25">
      <c r="B442" s="72" t="s">
        <v>3288</v>
      </c>
      <c r="C442" s="73"/>
      <c r="D442" s="73"/>
      <c r="E442" s="73"/>
      <c r="F442" s="73"/>
      <c r="G442" s="73"/>
      <c r="H442" s="73"/>
      <c r="I442" s="73"/>
      <c r="J442" s="73"/>
      <c r="K442" s="73"/>
      <c r="L442" s="73"/>
      <c r="M442" s="73"/>
      <c r="N442" s="73"/>
      <c r="O442" s="73"/>
      <c r="P442" s="73"/>
      <c r="Q442" s="73"/>
      <c r="R442" s="73"/>
      <c r="S442" s="73"/>
      <c r="T442" s="73"/>
      <c r="U442" s="74"/>
    </row>
    <row r="443" spans="2:21" s="15" customFormat="1" x14ac:dyDescent="0.25">
      <c r="B443" s="72" t="s">
        <v>3289</v>
      </c>
      <c r="C443" s="73"/>
      <c r="D443" s="73"/>
      <c r="E443" s="73"/>
      <c r="F443" s="73"/>
      <c r="G443" s="73"/>
      <c r="H443" s="73"/>
      <c r="I443" s="73"/>
      <c r="J443" s="73"/>
      <c r="K443" s="73"/>
      <c r="L443" s="73"/>
      <c r="M443" s="73"/>
      <c r="N443" s="73"/>
      <c r="O443" s="73"/>
      <c r="P443" s="73"/>
      <c r="Q443" s="73"/>
      <c r="R443" s="73"/>
      <c r="S443" s="73"/>
      <c r="T443" s="73"/>
      <c r="U443" s="74"/>
    </row>
    <row r="444" spans="2:21" s="15" customFormat="1" x14ac:dyDescent="0.25">
      <c r="B444" s="72" t="s">
        <v>3179</v>
      </c>
      <c r="C444" s="73"/>
      <c r="D444" s="73"/>
      <c r="E444" s="73"/>
      <c r="F444" s="73"/>
      <c r="G444" s="73"/>
      <c r="H444" s="73"/>
      <c r="I444" s="73"/>
      <c r="J444" s="73"/>
      <c r="K444" s="73"/>
      <c r="L444" s="73"/>
      <c r="M444" s="73"/>
      <c r="N444" s="73"/>
      <c r="O444" s="73"/>
      <c r="P444" s="73"/>
      <c r="Q444" s="73"/>
      <c r="R444" s="73"/>
      <c r="S444" s="73"/>
      <c r="T444" s="73"/>
      <c r="U444" s="74"/>
    </row>
    <row r="445" spans="2:21" s="15" customFormat="1" x14ac:dyDescent="0.25">
      <c r="B445" s="72" t="s">
        <v>3180</v>
      </c>
      <c r="C445" s="73"/>
      <c r="D445" s="73"/>
      <c r="E445" s="73"/>
      <c r="F445" s="73"/>
      <c r="G445" s="73"/>
      <c r="H445" s="73"/>
      <c r="I445" s="73"/>
      <c r="J445" s="73"/>
      <c r="K445" s="73"/>
      <c r="L445" s="73"/>
      <c r="M445" s="73"/>
      <c r="N445" s="73"/>
      <c r="O445" s="73"/>
      <c r="P445" s="73"/>
      <c r="Q445" s="73"/>
      <c r="R445" s="73"/>
      <c r="S445" s="73"/>
      <c r="T445" s="73"/>
      <c r="U445" s="74"/>
    </row>
    <row r="446" spans="2:21" s="15" customFormat="1" x14ac:dyDescent="0.25">
      <c r="B446" s="72" t="s">
        <v>3181</v>
      </c>
      <c r="C446" s="73"/>
      <c r="D446" s="73"/>
      <c r="E446" s="73"/>
      <c r="F446" s="73"/>
      <c r="G446" s="73"/>
      <c r="H446" s="73"/>
      <c r="I446" s="73"/>
      <c r="J446" s="73"/>
      <c r="K446" s="73"/>
      <c r="L446" s="73"/>
      <c r="M446" s="73"/>
      <c r="N446" s="73"/>
      <c r="O446" s="73"/>
      <c r="P446" s="73"/>
      <c r="Q446" s="73"/>
      <c r="R446" s="73"/>
      <c r="S446" s="73"/>
      <c r="T446" s="73"/>
      <c r="U446" s="74"/>
    </row>
    <row r="447" spans="2:21" s="15" customFormat="1" x14ac:dyDescent="0.25">
      <c r="B447" s="72" t="s">
        <v>3085</v>
      </c>
      <c r="C447" s="73"/>
      <c r="D447" s="73"/>
      <c r="E447" s="73"/>
      <c r="F447" s="73"/>
      <c r="G447" s="73"/>
      <c r="H447" s="73"/>
      <c r="I447" s="73"/>
      <c r="J447" s="73"/>
      <c r="K447" s="73"/>
      <c r="L447" s="73"/>
      <c r="M447" s="73"/>
      <c r="N447" s="73"/>
      <c r="O447" s="73"/>
      <c r="P447" s="73"/>
      <c r="Q447" s="73"/>
      <c r="R447" s="73"/>
      <c r="S447" s="73"/>
      <c r="T447" s="73"/>
      <c r="U447" s="74"/>
    </row>
    <row r="448" spans="2:21" s="15" customFormat="1" x14ac:dyDescent="0.25">
      <c r="B448" s="72" t="s">
        <v>3622</v>
      </c>
      <c r="C448" s="73"/>
      <c r="D448" s="73"/>
      <c r="E448" s="73"/>
      <c r="F448" s="73"/>
      <c r="G448" s="73"/>
      <c r="H448" s="73"/>
      <c r="I448" s="73"/>
      <c r="J448" s="73"/>
      <c r="K448" s="73"/>
      <c r="L448" s="73"/>
      <c r="M448" s="73"/>
      <c r="N448" s="73"/>
      <c r="O448" s="73"/>
      <c r="P448" s="73"/>
      <c r="Q448" s="73"/>
      <c r="R448" s="73"/>
      <c r="S448" s="73"/>
      <c r="T448" s="73"/>
      <c r="U448" s="74"/>
    </row>
    <row r="449" spans="2:21" s="15" customFormat="1" x14ac:dyDescent="0.25">
      <c r="B449" s="72" t="s">
        <v>3183</v>
      </c>
      <c r="C449" s="73"/>
      <c r="D449" s="73"/>
      <c r="E449" s="73"/>
      <c r="F449" s="73"/>
      <c r="G449" s="73"/>
      <c r="H449" s="73"/>
      <c r="I449" s="73"/>
      <c r="J449" s="73"/>
      <c r="K449" s="73"/>
      <c r="L449" s="73"/>
      <c r="M449" s="73"/>
      <c r="N449" s="73"/>
      <c r="O449" s="73"/>
      <c r="P449" s="73"/>
      <c r="Q449" s="73"/>
      <c r="R449" s="73"/>
      <c r="S449" s="73"/>
      <c r="T449" s="73"/>
      <c r="U449" s="74"/>
    </row>
    <row r="450" spans="2:21" s="15" customFormat="1" x14ac:dyDescent="0.25">
      <c r="B450" s="72" t="s">
        <v>3168</v>
      </c>
      <c r="C450" s="73"/>
      <c r="D450" s="73"/>
      <c r="E450" s="73"/>
      <c r="F450" s="73"/>
      <c r="G450" s="73"/>
      <c r="H450" s="73"/>
      <c r="I450" s="73"/>
      <c r="J450" s="73"/>
      <c r="K450" s="73"/>
      <c r="L450" s="73"/>
      <c r="M450" s="73"/>
      <c r="N450" s="73"/>
      <c r="O450" s="73"/>
      <c r="P450" s="73"/>
      <c r="Q450" s="73"/>
      <c r="R450" s="73"/>
      <c r="S450" s="73"/>
      <c r="T450" s="73"/>
      <c r="U450" s="74"/>
    </row>
    <row r="451" spans="2:21" s="15" customFormat="1" x14ac:dyDescent="0.25">
      <c r="B451" s="72" t="s">
        <v>3169</v>
      </c>
      <c r="C451" s="73"/>
      <c r="D451" s="73"/>
      <c r="E451" s="73"/>
      <c r="F451" s="73"/>
      <c r="G451" s="73"/>
      <c r="H451" s="73"/>
      <c r="I451" s="73"/>
      <c r="J451" s="73"/>
      <c r="K451" s="73"/>
      <c r="L451" s="73"/>
      <c r="M451" s="73"/>
      <c r="N451" s="73"/>
      <c r="O451" s="73"/>
      <c r="P451" s="73"/>
      <c r="Q451" s="73"/>
      <c r="R451" s="73"/>
      <c r="S451" s="73"/>
      <c r="T451" s="73"/>
      <c r="U451" s="74"/>
    </row>
    <row r="452" spans="2:21" s="15" customFormat="1" x14ac:dyDescent="0.25">
      <c r="B452" s="72" t="s">
        <v>3170</v>
      </c>
      <c r="C452" s="73"/>
      <c r="D452" s="73"/>
      <c r="E452" s="73"/>
      <c r="F452" s="73"/>
      <c r="G452" s="73"/>
      <c r="H452" s="73"/>
      <c r="I452" s="73"/>
      <c r="J452" s="73"/>
      <c r="K452" s="73"/>
      <c r="L452" s="73"/>
      <c r="M452" s="73"/>
      <c r="N452" s="73"/>
      <c r="O452" s="73"/>
      <c r="P452" s="73"/>
      <c r="Q452" s="73"/>
      <c r="R452" s="73"/>
      <c r="S452" s="73"/>
      <c r="T452" s="73"/>
      <c r="U452" s="74"/>
    </row>
    <row r="453" spans="2:21" s="15" customFormat="1" x14ac:dyDescent="0.25">
      <c r="B453" s="72" t="s">
        <v>3284</v>
      </c>
      <c r="C453" s="73"/>
      <c r="D453" s="73"/>
      <c r="E453" s="73"/>
      <c r="F453" s="73"/>
      <c r="G453" s="73"/>
      <c r="H453" s="73"/>
      <c r="I453" s="73"/>
      <c r="J453" s="73"/>
      <c r="K453" s="73"/>
      <c r="L453" s="73"/>
      <c r="M453" s="73"/>
      <c r="N453" s="73"/>
      <c r="O453" s="73"/>
      <c r="P453" s="73"/>
      <c r="Q453" s="73"/>
      <c r="R453" s="73"/>
      <c r="S453" s="73"/>
      <c r="T453" s="73"/>
      <c r="U453" s="74"/>
    </row>
    <row r="454" spans="2:21" s="15" customFormat="1" x14ac:dyDescent="0.25">
      <c r="B454" s="72" t="s">
        <v>3172</v>
      </c>
      <c r="C454" s="73"/>
      <c r="D454" s="73"/>
      <c r="E454" s="73"/>
      <c r="F454" s="73"/>
      <c r="G454" s="73"/>
      <c r="H454" s="73"/>
      <c r="I454" s="73"/>
      <c r="J454" s="73"/>
      <c r="K454" s="73"/>
      <c r="L454" s="73"/>
      <c r="M454" s="73"/>
      <c r="N454" s="73"/>
      <c r="O454" s="73"/>
      <c r="P454" s="73"/>
      <c r="Q454" s="73"/>
      <c r="R454" s="73"/>
      <c r="S454" s="73"/>
      <c r="T454" s="73"/>
      <c r="U454" s="74"/>
    </row>
    <row r="455" spans="2:21" s="15" customFormat="1" x14ac:dyDescent="0.25">
      <c r="B455" s="72" t="s">
        <v>3285</v>
      </c>
      <c r="C455" s="73"/>
      <c r="D455" s="73"/>
      <c r="E455" s="73"/>
      <c r="F455" s="73"/>
      <c r="G455" s="73"/>
      <c r="H455" s="73"/>
      <c r="I455" s="73"/>
      <c r="J455" s="73"/>
      <c r="K455" s="73"/>
      <c r="L455" s="73"/>
      <c r="M455" s="73"/>
      <c r="N455" s="73"/>
      <c r="O455" s="73"/>
      <c r="P455" s="73"/>
      <c r="Q455" s="73"/>
      <c r="R455" s="73"/>
      <c r="S455" s="73"/>
      <c r="T455" s="73"/>
      <c r="U455" s="74"/>
    </row>
    <row r="456" spans="2:21" s="15" customFormat="1" x14ac:dyDescent="0.25">
      <c r="B456" s="72" t="s">
        <v>3286</v>
      </c>
      <c r="C456" s="73"/>
      <c r="D456" s="73"/>
      <c r="E456" s="73"/>
      <c r="F456" s="73"/>
      <c r="G456" s="73"/>
      <c r="H456" s="73"/>
      <c r="I456" s="73"/>
      <c r="J456" s="73"/>
      <c r="K456" s="73"/>
      <c r="L456" s="73"/>
      <c r="M456" s="73"/>
      <c r="N456" s="73"/>
      <c r="O456" s="73"/>
      <c r="P456" s="73"/>
      <c r="Q456" s="73"/>
      <c r="R456" s="73"/>
      <c r="S456" s="73"/>
      <c r="T456" s="73"/>
      <c r="U456" s="74"/>
    </row>
    <row r="457" spans="2:21" s="15" customFormat="1" x14ac:dyDescent="0.25">
      <c r="B457" s="72" t="s">
        <v>3175</v>
      </c>
      <c r="C457" s="73"/>
      <c r="D457" s="73"/>
      <c r="E457" s="73"/>
      <c r="F457" s="73"/>
      <c r="G457" s="73"/>
      <c r="H457" s="73"/>
      <c r="I457" s="73"/>
      <c r="J457" s="73"/>
      <c r="K457" s="73"/>
      <c r="L457" s="73"/>
      <c r="M457" s="73"/>
      <c r="N457" s="73"/>
      <c r="O457" s="73"/>
      <c r="P457" s="73"/>
      <c r="Q457" s="73"/>
      <c r="R457" s="73"/>
      <c r="S457" s="73"/>
      <c r="T457" s="73"/>
      <c r="U457" s="74"/>
    </row>
    <row r="458" spans="2:21" s="15" customFormat="1" x14ac:dyDescent="0.25">
      <c r="B458" s="72" t="s">
        <v>3299</v>
      </c>
      <c r="C458" s="73"/>
      <c r="D458" s="73"/>
      <c r="E458" s="73"/>
      <c r="F458" s="73"/>
      <c r="G458" s="73"/>
      <c r="H458" s="73"/>
      <c r="I458" s="73"/>
      <c r="J458" s="73"/>
      <c r="K458" s="73"/>
      <c r="L458" s="73"/>
      <c r="M458" s="73"/>
      <c r="N458" s="73"/>
      <c r="O458" s="73"/>
      <c r="P458" s="73"/>
      <c r="Q458" s="73"/>
      <c r="R458" s="73"/>
      <c r="S458" s="73"/>
      <c r="T458" s="73"/>
      <c r="U458" s="74"/>
    </row>
    <row r="459" spans="2:21" s="15" customFormat="1" x14ac:dyDescent="0.25">
      <c r="B459" s="72" t="s">
        <v>3288</v>
      </c>
      <c r="C459" s="73"/>
      <c r="D459" s="73"/>
      <c r="E459" s="73"/>
      <c r="F459" s="73"/>
      <c r="G459" s="73"/>
      <c r="H459" s="73"/>
      <c r="I459" s="73"/>
      <c r="J459" s="73"/>
      <c r="K459" s="73"/>
      <c r="L459" s="73"/>
      <c r="M459" s="73"/>
      <c r="N459" s="73"/>
      <c r="O459" s="73"/>
      <c r="P459" s="73"/>
      <c r="Q459" s="73"/>
      <c r="R459" s="73"/>
      <c r="S459" s="73"/>
      <c r="T459" s="73"/>
      <c r="U459" s="74"/>
    </row>
    <row r="460" spans="2:21" s="15" customFormat="1" x14ac:dyDescent="0.25">
      <c r="B460" s="72" t="s">
        <v>3289</v>
      </c>
      <c r="C460" s="73"/>
      <c r="D460" s="73"/>
      <c r="E460" s="73"/>
      <c r="F460" s="73"/>
      <c r="G460" s="73"/>
      <c r="H460" s="73"/>
      <c r="I460" s="73"/>
      <c r="J460" s="73"/>
      <c r="K460" s="73"/>
      <c r="L460" s="73"/>
      <c r="M460" s="73"/>
      <c r="N460" s="73"/>
      <c r="O460" s="73"/>
      <c r="P460" s="73"/>
      <c r="Q460" s="73"/>
      <c r="R460" s="73"/>
      <c r="S460" s="73"/>
      <c r="T460" s="73"/>
      <c r="U460" s="74"/>
    </row>
    <row r="461" spans="2:21" s="15" customFormat="1" x14ac:dyDescent="0.25">
      <c r="B461" s="72" t="s">
        <v>3294</v>
      </c>
      <c r="C461" s="73"/>
      <c r="D461" s="73"/>
      <c r="E461" s="73"/>
      <c r="F461" s="73"/>
      <c r="G461" s="73"/>
      <c r="H461" s="73"/>
      <c r="I461" s="73"/>
      <c r="J461" s="73"/>
      <c r="K461" s="73"/>
      <c r="L461" s="73"/>
      <c r="M461" s="73"/>
      <c r="N461" s="73"/>
      <c r="O461" s="73"/>
      <c r="P461" s="73"/>
      <c r="Q461" s="73"/>
      <c r="R461" s="73"/>
      <c r="S461" s="73"/>
      <c r="T461" s="73"/>
      <c r="U461" s="74"/>
    </row>
    <row r="462" spans="2:21" s="15" customFormat="1" x14ac:dyDescent="0.25">
      <c r="B462" s="72" t="s">
        <v>3293</v>
      </c>
      <c r="C462" s="73"/>
      <c r="D462" s="73"/>
      <c r="E462" s="73"/>
      <c r="F462" s="73"/>
      <c r="G462" s="73"/>
      <c r="H462" s="73"/>
      <c r="I462" s="73"/>
      <c r="J462" s="73"/>
      <c r="K462" s="73"/>
      <c r="L462" s="73"/>
      <c r="M462" s="73"/>
      <c r="N462" s="73"/>
      <c r="O462" s="73"/>
      <c r="P462" s="73"/>
      <c r="Q462" s="73"/>
      <c r="R462" s="73"/>
      <c r="S462" s="73"/>
      <c r="T462" s="73"/>
      <c r="U462" s="74"/>
    </row>
    <row r="463" spans="2:21" s="15" customFormat="1" x14ac:dyDescent="0.25">
      <c r="B463" s="72" t="s">
        <v>3083</v>
      </c>
      <c r="C463" s="73"/>
      <c r="D463" s="73"/>
      <c r="E463" s="73"/>
      <c r="F463" s="73"/>
      <c r="G463" s="73"/>
      <c r="H463" s="73"/>
      <c r="I463" s="73"/>
      <c r="J463" s="73"/>
      <c r="K463" s="73"/>
      <c r="L463" s="73"/>
      <c r="M463" s="73"/>
      <c r="N463" s="73"/>
      <c r="O463" s="73"/>
      <c r="P463" s="73"/>
      <c r="Q463" s="73"/>
      <c r="R463" s="73"/>
      <c r="S463" s="73"/>
      <c r="T463" s="73"/>
      <c r="U463" s="74"/>
    </row>
    <row r="464" spans="2:21" s="15" customFormat="1" x14ac:dyDescent="0.25">
      <c r="B464" s="72" t="s">
        <v>3093</v>
      </c>
      <c r="C464" s="73"/>
      <c r="D464" s="73"/>
      <c r="E464" s="73"/>
      <c r="F464" s="73"/>
      <c r="G464" s="73"/>
      <c r="H464" s="73"/>
      <c r="I464" s="73"/>
      <c r="J464" s="73"/>
      <c r="K464" s="73"/>
      <c r="L464" s="73"/>
      <c r="M464" s="73"/>
      <c r="N464" s="73"/>
      <c r="O464" s="73"/>
      <c r="P464" s="73"/>
      <c r="Q464" s="73"/>
      <c r="R464" s="73"/>
      <c r="S464" s="73"/>
      <c r="T464" s="73"/>
      <c r="U464" s="74"/>
    </row>
    <row r="465" spans="2:21" s="15" customFormat="1" x14ac:dyDescent="0.25">
      <c r="B465" s="72" t="s">
        <v>3195</v>
      </c>
      <c r="C465" s="73"/>
      <c r="D465" s="73"/>
      <c r="E465" s="73"/>
      <c r="F465" s="73"/>
      <c r="G465" s="73"/>
      <c r="H465" s="73"/>
      <c r="I465" s="73"/>
      <c r="J465" s="73"/>
      <c r="K465" s="73"/>
      <c r="L465" s="73"/>
      <c r="M465" s="73"/>
      <c r="N465" s="73"/>
      <c r="O465" s="73"/>
      <c r="P465" s="73"/>
      <c r="Q465" s="73"/>
      <c r="R465" s="73"/>
      <c r="S465" s="73"/>
      <c r="T465" s="73"/>
      <c r="U465" s="74"/>
    </row>
    <row r="466" spans="2:21" s="15" customFormat="1" x14ac:dyDescent="0.25">
      <c r="B466" s="72" t="s">
        <v>3085</v>
      </c>
      <c r="C466" s="73"/>
      <c r="D466" s="73"/>
      <c r="E466" s="73"/>
      <c r="F466" s="73"/>
      <c r="G466" s="73"/>
      <c r="H466" s="73"/>
      <c r="I466" s="73"/>
      <c r="J466" s="73"/>
      <c r="K466" s="73"/>
      <c r="L466" s="73"/>
      <c r="M466" s="73"/>
      <c r="N466" s="73"/>
      <c r="O466" s="73"/>
      <c r="P466" s="73"/>
      <c r="Q466" s="73"/>
      <c r="R466" s="73"/>
      <c r="S466" s="73"/>
      <c r="T466" s="73"/>
      <c r="U466" s="74"/>
    </row>
    <row r="467" spans="2:21" s="15" customFormat="1" x14ac:dyDescent="0.25">
      <c r="B467" s="72" t="s">
        <v>3623</v>
      </c>
      <c r="C467" s="73"/>
      <c r="D467" s="73"/>
      <c r="E467" s="73"/>
      <c r="F467" s="73"/>
      <c r="G467" s="73"/>
      <c r="H467" s="73"/>
      <c r="I467" s="73"/>
      <c r="J467" s="73"/>
      <c r="K467" s="73"/>
      <c r="L467" s="73"/>
      <c r="M467" s="73"/>
      <c r="N467" s="73"/>
      <c r="O467" s="73"/>
      <c r="P467" s="73"/>
      <c r="Q467" s="73"/>
      <c r="R467" s="73"/>
      <c r="S467" s="73"/>
      <c r="T467" s="73"/>
      <c r="U467" s="74"/>
    </row>
    <row r="468" spans="2:21" s="15" customFormat="1" x14ac:dyDescent="0.25">
      <c r="B468" s="72" t="s">
        <v>3624</v>
      </c>
      <c r="C468" s="73"/>
      <c r="D468" s="73"/>
      <c r="E468" s="73"/>
      <c r="F468" s="73"/>
      <c r="G468" s="73"/>
      <c r="H468" s="73"/>
      <c r="I468" s="73"/>
      <c r="J468" s="73"/>
      <c r="K468" s="73"/>
      <c r="L468" s="73"/>
      <c r="M468" s="73"/>
      <c r="N468" s="73"/>
      <c r="O468" s="73"/>
      <c r="P468" s="73"/>
      <c r="Q468" s="73"/>
      <c r="R468" s="73"/>
      <c r="S468" s="73"/>
      <c r="T468" s="73"/>
      <c r="U468" s="74"/>
    </row>
    <row r="469" spans="2:21" s="15" customFormat="1" x14ac:dyDescent="0.25">
      <c r="B469" s="72" t="s">
        <v>3306</v>
      </c>
      <c r="C469" s="73"/>
      <c r="D469" s="73"/>
      <c r="E469" s="73"/>
      <c r="F469" s="73"/>
      <c r="G469" s="73"/>
      <c r="H469" s="73"/>
      <c r="I469" s="73"/>
      <c r="J469" s="73"/>
      <c r="K469" s="73"/>
      <c r="L469" s="73"/>
      <c r="M469" s="73"/>
      <c r="N469" s="73"/>
      <c r="O469" s="73"/>
      <c r="P469" s="73"/>
      <c r="Q469" s="73"/>
      <c r="R469" s="73"/>
      <c r="S469" s="73"/>
      <c r="T469" s="73"/>
      <c r="U469" s="74"/>
    </row>
    <row r="470" spans="2:21" s="15" customFormat="1" x14ac:dyDescent="0.25">
      <c r="B470" s="72" t="s">
        <v>3404</v>
      </c>
      <c r="C470" s="73"/>
      <c r="D470" s="73"/>
      <c r="E470" s="73"/>
      <c r="F470" s="73"/>
      <c r="G470" s="73"/>
      <c r="H470" s="73"/>
      <c r="I470" s="73"/>
      <c r="J470" s="73"/>
      <c r="K470" s="73"/>
      <c r="L470" s="73"/>
      <c r="M470" s="73"/>
      <c r="N470" s="73"/>
      <c r="O470" s="73"/>
      <c r="P470" s="73"/>
      <c r="Q470" s="73"/>
      <c r="R470" s="73"/>
      <c r="S470" s="73"/>
      <c r="T470" s="73"/>
      <c r="U470" s="74"/>
    </row>
    <row r="471" spans="2:21" s="15" customFormat="1" x14ac:dyDescent="0.25">
      <c r="B471" s="72" t="s">
        <v>3181</v>
      </c>
      <c r="C471" s="73"/>
      <c r="D471" s="73"/>
      <c r="E471" s="73"/>
      <c r="F471" s="73"/>
      <c r="G471" s="73"/>
      <c r="H471" s="73"/>
      <c r="I471" s="73"/>
      <c r="J471" s="73"/>
      <c r="K471" s="73"/>
      <c r="L471" s="73"/>
      <c r="M471" s="73"/>
      <c r="N471" s="73"/>
      <c r="O471" s="73"/>
      <c r="P471" s="73"/>
      <c r="Q471" s="73"/>
      <c r="R471" s="73"/>
      <c r="S471" s="73"/>
      <c r="T471" s="73"/>
      <c r="U471" s="74"/>
    </row>
    <row r="472" spans="2:21" s="15" customFormat="1" x14ac:dyDescent="0.25">
      <c r="B472" s="72" t="s">
        <v>3085</v>
      </c>
      <c r="C472" s="73"/>
      <c r="D472" s="73"/>
      <c r="E472" s="73"/>
      <c r="F472" s="73"/>
      <c r="G472" s="73"/>
      <c r="H472" s="73"/>
      <c r="I472" s="73"/>
      <c r="J472" s="73"/>
      <c r="K472" s="73"/>
      <c r="L472" s="73"/>
      <c r="M472" s="73"/>
      <c r="N472" s="73"/>
      <c r="O472" s="73"/>
      <c r="P472" s="73"/>
      <c r="Q472" s="73"/>
      <c r="R472" s="73"/>
      <c r="S472" s="73"/>
      <c r="T472" s="73"/>
      <c r="U472" s="74"/>
    </row>
    <row r="473" spans="2:21" s="15" customFormat="1" x14ac:dyDescent="0.25">
      <c r="B473" s="72" t="s">
        <v>3623</v>
      </c>
      <c r="C473" s="73"/>
      <c r="D473" s="73"/>
      <c r="E473" s="73"/>
      <c r="F473" s="73"/>
      <c r="G473" s="73"/>
      <c r="H473" s="73"/>
      <c r="I473" s="73"/>
      <c r="J473" s="73"/>
      <c r="K473" s="73"/>
      <c r="L473" s="73"/>
      <c r="M473" s="73"/>
      <c r="N473" s="73"/>
      <c r="O473" s="73"/>
      <c r="P473" s="73"/>
      <c r="Q473" s="73"/>
      <c r="R473" s="73"/>
      <c r="S473" s="73"/>
      <c r="T473" s="73"/>
      <c r="U473" s="74"/>
    </row>
    <row r="474" spans="2:21" s="15" customFormat="1" x14ac:dyDescent="0.25">
      <c r="B474" s="72" t="s">
        <v>3625</v>
      </c>
      <c r="C474" s="73"/>
      <c r="D474" s="73"/>
      <c r="E474" s="73"/>
      <c r="F474" s="73"/>
      <c r="G474" s="73"/>
      <c r="H474" s="73"/>
      <c r="I474" s="73"/>
      <c r="J474" s="73"/>
      <c r="K474" s="73"/>
      <c r="L474" s="73"/>
      <c r="M474" s="73"/>
      <c r="N474" s="73"/>
      <c r="O474" s="73"/>
      <c r="P474" s="73"/>
      <c r="Q474" s="73"/>
      <c r="R474" s="73"/>
      <c r="S474" s="73"/>
      <c r="T474" s="73"/>
      <c r="U474" s="74"/>
    </row>
    <row r="475" spans="2:21" s="15" customFormat="1" x14ac:dyDescent="0.25">
      <c r="B475" s="72" t="s">
        <v>3312</v>
      </c>
      <c r="C475" s="73"/>
      <c r="D475" s="73"/>
      <c r="E475" s="73"/>
      <c r="F475" s="73"/>
      <c r="G475" s="73"/>
      <c r="H475" s="73"/>
      <c r="I475" s="73"/>
      <c r="J475" s="73"/>
      <c r="K475" s="73"/>
      <c r="L475" s="73"/>
      <c r="M475" s="73"/>
      <c r="N475" s="73"/>
      <c r="O475" s="73"/>
      <c r="P475" s="73"/>
      <c r="Q475" s="73"/>
      <c r="R475" s="73"/>
      <c r="S475" s="73"/>
      <c r="T475" s="73"/>
      <c r="U475" s="74"/>
    </row>
    <row r="476" spans="2:21" s="15" customFormat="1" x14ac:dyDescent="0.25">
      <c r="B476" s="72" t="s">
        <v>3313</v>
      </c>
      <c r="C476" s="73"/>
      <c r="D476" s="73"/>
      <c r="E476" s="73"/>
      <c r="F476" s="73"/>
      <c r="G476" s="73"/>
      <c r="H476" s="73"/>
      <c r="I476" s="73"/>
      <c r="J476" s="73"/>
      <c r="K476" s="73"/>
      <c r="L476" s="73"/>
      <c r="M476" s="73"/>
      <c r="N476" s="73"/>
      <c r="O476" s="73"/>
      <c r="P476" s="73"/>
      <c r="Q476" s="73"/>
      <c r="R476" s="73"/>
      <c r="S476" s="73"/>
      <c r="T476" s="73"/>
      <c r="U476" s="74"/>
    </row>
    <row r="477" spans="2:21" s="15" customFormat="1" x14ac:dyDescent="0.25">
      <c r="B477" s="72" t="s">
        <v>3083</v>
      </c>
      <c r="C477" s="73"/>
      <c r="D477" s="73"/>
      <c r="E477" s="73"/>
      <c r="F477" s="73"/>
      <c r="G477" s="73"/>
      <c r="H477" s="73"/>
      <c r="I477" s="73"/>
      <c r="J477" s="73"/>
      <c r="K477" s="73"/>
      <c r="L477" s="73"/>
      <c r="M477" s="73"/>
      <c r="N477" s="73"/>
      <c r="O477" s="73"/>
      <c r="P477" s="73"/>
      <c r="Q477" s="73"/>
      <c r="R477" s="73"/>
      <c r="S477" s="73"/>
      <c r="T477" s="73"/>
      <c r="U477" s="74"/>
    </row>
    <row r="478" spans="2:21" s="15" customFormat="1" x14ac:dyDescent="0.25">
      <c r="B478" s="72" t="s">
        <v>3093</v>
      </c>
      <c r="C478" s="73"/>
      <c r="D478" s="73"/>
      <c r="E478" s="73"/>
      <c r="F478" s="73"/>
      <c r="G478" s="73"/>
      <c r="H478" s="73"/>
      <c r="I478" s="73"/>
      <c r="J478" s="73"/>
      <c r="K478" s="73"/>
      <c r="L478" s="73"/>
      <c r="M478" s="73"/>
      <c r="N478" s="73"/>
      <c r="O478" s="73"/>
      <c r="P478" s="73"/>
      <c r="Q478" s="73"/>
      <c r="R478" s="73"/>
      <c r="S478" s="73"/>
      <c r="T478" s="73"/>
      <c r="U478" s="74"/>
    </row>
    <row r="479" spans="2:21" s="15" customFormat="1" x14ac:dyDescent="0.25">
      <c r="B479" s="72" t="s">
        <v>3199</v>
      </c>
      <c r="C479" s="73"/>
      <c r="D479" s="73"/>
      <c r="E479" s="73"/>
      <c r="F479" s="73"/>
      <c r="G479" s="73"/>
      <c r="H479" s="73"/>
      <c r="I479" s="73"/>
      <c r="J479" s="73"/>
      <c r="K479" s="73"/>
      <c r="L479" s="73"/>
      <c r="M479" s="73"/>
      <c r="N479" s="73"/>
      <c r="O479" s="73"/>
      <c r="P479" s="73"/>
      <c r="Q479" s="73"/>
      <c r="R479" s="73"/>
      <c r="S479" s="73"/>
      <c r="T479" s="73"/>
      <c r="U479" s="74"/>
    </row>
    <row r="480" spans="2:21" s="15" customFormat="1" x14ac:dyDescent="0.25">
      <c r="B480" s="72" t="s">
        <v>3085</v>
      </c>
      <c r="C480" s="73"/>
      <c r="D480" s="73"/>
      <c r="E480" s="73"/>
      <c r="F480" s="73"/>
      <c r="G480" s="73"/>
      <c r="H480" s="73"/>
      <c r="I480" s="73"/>
      <c r="J480" s="73"/>
      <c r="K480" s="73"/>
      <c r="L480" s="73"/>
      <c r="M480" s="73"/>
      <c r="N480" s="73"/>
      <c r="O480" s="73"/>
      <c r="P480" s="73"/>
      <c r="Q480" s="73"/>
      <c r="R480" s="73"/>
      <c r="S480" s="73"/>
      <c r="T480" s="73"/>
      <c r="U480" s="74"/>
    </row>
    <row r="481" spans="2:21" s="15" customFormat="1" x14ac:dyDescent="0.25">
      <c r="B481" s="72" t="s">
        <v>3200</v>
      </c>
      <c r="C481" s="73"/>
      <c r="D481" s="73"/>
      <c r="E481" s="73"/>
      <c r="F481" s="73"/>
      <c r="G481" s="73"/>
      <c r="H481" s="73"/>
      <c r="I481" s="73"/>
      <c r="J481" s="73"/>
      <c r="K481" s="73"/>
      <c r="L481" s="73"/>
      <c r="M481" s="73"/>
      <c r="N481" s="73"/>
      <c r="O481" s="73"/>
      <c r="P481" s="73"/>
      <c r="Q481" s="73"/>
      <c r="R481" s="73"/>
      <c r="S481" s="73"/>
      <c r="T481" s="73"/>
      <c r="U481" s="74"/>
    </row>
    <row r="482" spans="2:21" s="15" customFormat="1" x14ac:dyDescent="0.25">
      <c r="B482" s="72" t="s">
        <v>3535</v>
      </c>
      <c r="C482" s="73"/>
      <c r="D482" s="73"/>
      <c r="E482" s="73"/>
      <c r="F482" s="73"/>
      <c r="G482" s="73"/>
      <c r="H482" s="73"/>
      <c r="I482" s="73"/>
      <c r="J482" s="73"/>
      <c r="K482" s="73"/>
      <c r="L482" s="73"/>
      <c r="M482" s="73"/>
      <c r="N482" s="73"/>
      <c r="O482" s="73"/>
      <c r="P482" s="73"/>
      <c r="Q482" s="73"/>
      <c r="R482" s="73"/>
      <c r="S482" s="73"/>
      <c r="T482" s="73"/>
      <c r="U482" s="74"/>
    </row>
    <row r="483" spans="2:21" s="15" customFormat="1" x14ac:dyDescent="0.25">
      <c r="B483" s="72" t="s">
        <v>3083</v>
      </c>
      <c r="C483" s="73"/>
      <c r="D483" s="73"/>
      <c r="E483" s="73"/>
      <c r="F483" s="73"/>
      <c r="G483" s="73"/>
      <c r="H483" s="73"/>
      <c r="I483" s="73"/>
      <c r="J483" s="73"/>
      <c r="K483" s="73"/>
      <c r="L483" s="73"/>
      <c r="M483" s="73"/>
      <c r="N483" s="73"/>
      <c r="O483" s="73"/>
      <c r="P483" s="73"/>
      <c r="Q483" s="73"/>
      <c r="R483" s="73"/>
      <c r="S483" s="73"/>
      <c r="T483" s="73"/>
      <c r="U483" s="74"/>
    </row>
    <row r="484" spans="2:21" s="15" customFormat="1" x14ac:dyDescent="0.25">
      <c r="B484" s="72" t="s">
        <v>3208</v>
      </c>
      <c r="C484" s="73"/>
      <c r="D484" s="73"/>
      <c r="E484" s="73"/>
      <c r="F484" s="73"/>
      <c r="G484" s="73"/>
      <c r="H484" s="73"/>
      <c r="I484" s="73"/>
      <c r="J484" s="73"/>
      <c r="K484" s="73"/>
      <c r="L484" s="73"/>
      <c r="M484" s="73"/>
      <c r="N484" s="73"/>
      <c r="O484" s="73"/>
      <c r="P484" s="73"/>
      <c r="Q484" s="73"/>
      <c r="R484" s="73"/>
      <c r="S484" s="73"/>
      <c r="T484" s="73"/>
      <c r="U484" s="74"/>
    </row>
    <row r="485" spans="2:21" s="15" customFormat="1" x14ac:dyDescent="0.25">
      <c r="B485" s="72" t="s">
        <v>3209</v>
      </c>
      <c r="C485" s="73"/>
      <c r="D485" s="73"/>
      <c r="E485" s="73"/>
      <c r="F485" s="73"/>
      <c r="G485" s="73"/>
      <c r="H485" s="73"/>
      <c r="I485" s="73"/>
      <c r="J485" s="73"/>
      <c r="K485" s="73"/>
      <c r="L485" s="73"/>
      <c r="M485" s="73"/>
      <c r="N485" s="73"/>
      <c r="O485" s="73"/>
      <c r="P485" s="73"/>
      <c r="Q485" s="73"/>
      <c r="R485" s="73"/>
      <c r="S485" s="73"/>
      <c r="T485" s="73"/>
      <c r="U485" s="74"/>
    </row>
    <row r="486" spans="2:21" s="15" customFormat="1" x14ac:dyDescent="0.25">
      <c r="B486" s="72" t="s">
        <v>3210</v>
      </c>
      <c r="C486" s="73"/>
      <c r="D486" s="73"/>
      <c r="E486" s="73"/>
      <c r="F486" s="73"/>
      <c r="G486" s="73"/>
      <c r="H486" s="73"/>
      <c r="I486" s="73"/>
      <c r="J486" s="73"/>
      <c r="K486" s="73"/>
      <c r="L486" s="73"/>
      <c r="M486" s="73"/>
      <c r="N486" s="73"/>
      <c r="O486" s="73"/>
      <c r="P486" s="73"/>
      <c r="Q486" s="73"/>
      <c r="R486" s="73"/>
      <c r="S486" s="73"/>
      <c r="T486" s="73"/>
      <c r="U486" s="74"/>
    </row>
    <row r="487" spans="2:21" s="15" customFormat="1" x14ac:dyDescent="0.25">
      <c r="B487" s="75" t="s">
        <v>3211</v>
      </c>
      <c r="C487" s="76"/>
      <c r="D487" s="76"/>
      <c r="E487" s="76"/>
      <c r="F487" s="76"/>
      <c r="G487" s="76"/>
      <c r="H487" s="76"/>
      <c r="I487" s="76"/>
      <c r="J487" s="76"/>
      <c r="K487" s="76"/>
      <c r="L487" s="76"/>
      <c r="M487" s="76"/>
      <c r="N487" s="76"/>
      <c r="O487" s="76"/>
      <c r="P487" s="76"/>
      <c r="Q487" s="76"/>
      <c r="R487" s="76"/>
      <c r="S487" s="76"/>
      <c r="T487" s="76"/>
      <c r="U487" s="77"/>
    </row>
  </sheetData>
  <mergeCells count="484">
    <mergeCell ref="B484:U484"/>
    <mergeCell ref="B485:U485"/>
    <mergeCell ref="B486:U486"/>
    <mergeCell ref="B487:U487"/>
    <mergeCell ref="B479:U479"/>
    <mergeCell ref="B480:U480"/>
    <mergeCell ref="B481:U481"/>
    <mergeCell ref="B482:U482"/>
    <mergeCell ref="B483:U483"/>
    <mergeCell ref="B474:U474"/>
    <mergeCell ref="B475:U475"/>
    <mergeCell ref="B476:U476"/>
    <mergeCell ref="B477:U477"/>
    <mergeCell ref="B478:U478"/>
    <mergeCell ref="B469:U469"/>
    <mergeCell ref="B470:U470"/>
    <mergeCell ref="B471:U471"/>
    <mergeCell ref="B472:U472"/>
    <mergeCell ref="B473:U473"/>
    <mergeCell ref="B464:U464"/>
    <mergeCell ref="B465:U465"/>
    <mergeCell ref="B466:U466"/>
    <mergeCell ref="B467:U467"/>
    <mergeCell ref="B468:U468"/>
    <mergeCell ref="B459:U459"/>
    <mergeCell ref="B460:U460"/>
    <mergeCell ref="B461:U461"/>
    <mergeCell ref="B462:U462"/>
    <mergeCell ref="B463:U463"/>
    <mergeCell ref="B454:U454"/>
    <mergeCell ref="B455:U455"/>
    <mergeCell ref="B456:U456"/>
    <mergeCell ref="B457:U457"/>
    <mergeCell ref="B458:U458"/>
    <mergeCell ref="B449:U449"/>
    <mergeCell ref="B450:U450"/>
    <mergeCell ref="B451:U451"/>
    <mergeCell ref="B452:U452"/>
    <mergeCell ref="B453:U453"/>
    <mergeCell ref="B444:U444"/>
    <mergeCell ref="B445:U445"/>
    <mergeCell ref="B446:U446"/>
    <mergeCell ref="B447:U447"/>
    <mergeCell ref="B448:U448"/>
    <mergeCell ref="B439:U439"/>
    <mergeCell ref="B440:U440"/>
    <mergeCell ref="B441:U441"/>
    <mergeCell ref="B442:U442"/>
    <mergeCell ref="B443:U443"/>
    <mergeCell ref="B434:U434"/>
    <mergeCell ref="B435:U435"/>
    <mergeCell ref="B436:U436"/>
    <mergeCell ref="B437:U437"/>
    <mergeCell ref="B438:U438"/>
    <mergeCell ref="B429:U429"/>
    <mergeCell ref="B430:U430"/>
    <mergeCell ref="B431:U431"/>
    <mergeCell ref="B432:U432"/>
    <mergeCell ref="B433:U433"/>
    <mergeCell ref="B424:U424"/>
    <mergeCell ref="B425:U425"/>
    <mergeCell ref="B426:U426"/>
    <mergeCell ref="B427:U427"/>
    <mergeCell ref="B428:U428"/>
    <mergeCell ref="B419:U419"/>
    <mergeCell ref="B420:U420"/>
    <mergeCell ref="B421:U421"/>
    <mergeCell ref="B422:U422"/>
    <mergeCell ref="B423:U423"/>
    <mergeCell ref="B414:U414"/>
    <mergeCell ref="B415:U415"/>
    <mergeCell ref="B416:U416"/>
    <mergeCell ref="B417:U417"/>
    <mergeCell ref="B418:U418"/>
    <mergeCell ref="B409:U409"/>
    <mergeCell ref="B410:U410"/>
    <mergeCell ref="B411:U411"/>
    <mergeCell ref="B412:U412"/>
    <mergeCell ref="B413:U413"/>
    <mergeCell ref="B404:U404"/>
    <mergeCell ref="B405:U405"/>
    <mergeCell ref="B406:U406"/>
    <mergeCell ref="B407:U407"/>
    <mergeCell ref="B408:U408"/>
    <mergeCell ref="B399:U399"/>
    <mergeCell ref="B400:U400"/>
    <mergeCell ref="B401:U401"/>
    <mergeCell ref="B402:U402"/>
    <mergeCell ref="B403:U403"/>
    <mergeCell ref="B394:U394"/>
    <mergeCell ref="B395:U395"/>
    <mergeCell ref="B396:U396"/>
    <mergeCell ref="B397:U397"/>
    <mergeCell ref="B398:U398"/>
    <mergeCell ref="B389:U389"/>
    <mergeCell ref="B390:U390"/>
    <mergeCell ref="B391:U391"/>
    <mergeCell ref="B392:U392"/>
    <mergeCell ref="B393:U393"/>
    <mergeCell ref="B384:U384"/>
    <mergeCell ref="B385:U385"/>
    <mergeCell ref="B386:U386"/>
    <mergeCell ref="B387:U387"/>
    <mergeCell ref="B388:U388"/>
    <mergeCell ref="B379:U379"/>
    <mergeCell ref="B380:U380"/>
    <mergeCell ref="B381:U381"/>
    <mergeCell ref="B382:U382"/>
    <mergeCell ref="B383:U383"/>
    <mergeCell ref="B374:U374"/>
    <mergeCell ref="B375:U375"/>
    <mergeCell ref="B376:U376"/>
    <mergeCell ref="B377:U377"/>
    <mergeCell ref="B378:U378"/>
    <mergeCell ref="B369:U369"/>
    <mergeCell ref="B370:U370"/>
    <mergeCell ref="B371:U371"/>
    <mergeCell ref="B372:U372"/>
    <mergeCell ref="B373:U373"/>
    <mergeCell ref="B364:U364"/>
    <mergeCell ref="B365:U365"/>
    <mergeCell ref="B366:U366"/>
    <mergeCell ref="B367:U367"/>
    <mergeCell ref="B368:U368"/>
    <mergeCell ref="B359:U359"/>
    <mergeCell ref="B360:U360"/>
    <mergeCell ref="B361:U361"/>
    <mergeCell ref="B362:U362"/>
    <mergeCell ref="B363:U363"/>
    <mergeCell ref="B354:U354"/>
    <mergeCell ref="B355:U355"/>
    <mergeCell ref="B356:U356"/>
    <mergeCell ref="B357:U357"/>
    <mergeCell ref="B358:U358"/>
    <mergeCell ref="B349:U349"/>
    <mergeCell ref="B350:U350"/>
    <mergeCell ref="B351:U351"/>
    <mergeCell ref="B352:U352"/>
    <mergeCell ref="B353:U353"/>
    <mergeCell ref="B344:U344"/>
    <mergeCell ref="B345:U345"/>
    <mergeCell ref="B346:U346"/>
    <mergeCell ref="B347:U347"/>
    <mergeCell ref="B348:U348"/>
    <mergeCell ref="B339:U339"/>
    <mergeCell ref="B340:U340"/>
    <mergeCell ref="B341:U341"/>
    <mergeCell ref="B342:U342"/>
    <mergeCell ref="B343:U343"/>
    <mergeCell ref="B334:U334"/>
    <mergeCell ref="B335:U335"/>
    <mergeCell ref="B336:U336"/>
    <mergeCell ref="B337:U337"/>
    <mergeCell ref="B338:U338"/>
    <mergeCell ref="B329:U329"/>
    <mergeCell ref="B330:U330"/>
    <mergeCell ref="B331:U331"/>
    <mergeCell ref="B332:U332"/>
    <mergeCell ref="B333:U333"/>
    <mergeCell ref="B324:U324"/>
    <mergeCell ref="B325:U325"/>
    <mergeCell ref="B326:U326"/>
    <mergeCell ref="B327:U327"/>
    <mergeCell ref="B328:U328"/>
    <mergeCell ref="B319:U319"/>
    <mergeCell ref="B320:U320"/>
    <mergeCell ref="B321:U321"/>
    <mergeCell ref="B322:U322"/>
    <mergeCell ref="B323:U323"/>
    <mergeCell ref="B314:U314"/>
    <mergeCell ref="B315:U315"/>
    <mergeCell ref="B316:U316"/>
    <mergeCell ref="B317:U317"/>
    <mergeCell ref="B318:U318"/>
    <mergeCell ref="B309:U309"/>
    <mergeCell ref="B310:U310"/>
    <mergeCell ref="B311:U311"/>
    <mergeCell ref="B312:U312"/>
    <mergeCell ref="B313:U313"/>
    <mergeCell ref="B304:U304"/>
    <mergeCell ref="B305:U305"/>
    <mergeCell ref="B306:U306"/>
    <mergeCell ref="B307:U307"/>
    <mergeCell ref="B308:U308"/>
    <mergeCell ref="B299:U299"/>
    <mergeCell ref="B300:U300"/>
    <mergeCell ref="B301:U301"/>
    <mergeCell ref="B302:U302"/>
    <mergeCell ref="B303:U303"/>
    <mergeCell ref="B294:U294"/>
    <mergeCell ref="B295:U295"/>
    <mergeCell ref="B296:U296"/>
    <mergeCell ref="B297:U297"/>
    <mergeCell ref="B298:U298"/>
    <mergeCell ref="B289:U289"/>
    <mergeCell ref="B290:U290"/>
    <mergeCell ref="B291:U291"/>
    <mergeCell ref="B292:U292"/>
    <mergeCell ref="B293:U293"/>
    <mergeCell ref="B284:U284"/>
    <mergeCell ref="B285:U285"/>
    <mergeCell ref="B286:U286"/>
    <mergeCell ref="B287:U287"/>
    <mergeCell ref="B288:U288"/>
    <mergeCell ref="B279:U279"/>
    <mergeCell ref="B280:U280"/>
    <mergeCell ref="B281:U281"/>
    <mergeCell ref="B282:U282"/>
    <mergeCell ref="B283:U283"/>
    <mergeCell ref="B274:U274"/>
    <mergeCell ref="B275:U275"/>
    <mergeCell ref="B276:U276"/>
    <mergeCell ref="B277:U277"/>
    <mergeCell ref="B278:U278"/>
    <mergeCell ref="B269:U269"/>
    <mergeCell ref="B270:U270"/>
    <mergeCell ref="B271:U271"/>
    <mergeCell ref="B272:U272"/>
    <mergeCell ref="B273:U273"/>
    <mergeCell ref="B264:U264"/>
    <mergeCell ref="B265:U265"/>
    <mergeCell ref="B266:U266"/>
    <mergeCell ref="B267:U267"/>
    <mergeCell ref="B268:U268"/>
    <mergeCell ref="B259:U259"/>
    <mergeCell ref="B260:U260"/>
    <mergeCell ref="B261:U261"/>
    <mergeCell ref="B262:U262"/>
    <mergeCell ref="B263:U263"/>
    <mergeCell ref="B254:U254"/>
    <mergeCell ref="B255:U255"/>
    <mergeCell ref="B256:U256"/>
    <mergeCell ref="B257:U257"/>
    <mergeCell ref="B258:U258"/>
    <mergeCell ref="B249:U249"/>
    <mergeCell ref="B250:U250"/>
    <mergeCell ref="B251:U251"/>
    <mergeCell ref="B252:U252"/>
    <mergeCell ref="B253:U253"/>
    <mergeCell ref="B244:U244"/>
    <mergeCell ref="B245:U245"/>
    <mergeCell ref="B246:U246"/>
    <mergeCell ref="B247:U247"/>
    <mergeCell ref="B248:U248"/>
    <mergeCell ref="B239:U239"/>
    <mergeCell ref="B240:U240"/>
    <mergeCell ref="B241:U241"/>
    <mergeCell ref="B242:U242"/>
    <mergeCell ref="B243:U243"/>
    <mergeCell ref="B234:U234"/>
    <mergeCell ref="B235:U235"/>
    <mergeCell ref="B236:U236"/>
    <mergeCell ref="B237:U237"/>
    <mergeCell ref="B238:U238"/>
    <mergeCell ref="B229:U229"/>
    <mergeCell ref="B230:U230"/>
    <mergeCell ref="B231:U231"/>
    <mergeCell ref="B232:U232"/>
    <mergeCell ref="B233:U233"/>
    <mergeCell ref="B224:U224"/>
    <mergeCell ref="B225:U225"/>
    <mergeCell ref="B226:U226"/>
    <mergeCell ref="B227:U227"/>
    <mergeCell ref="B228:U228"/>
    <mergeCell ref="B219:U219"/>
    <mergeCell ref="B220:U220"/>
    <mergeCell ref="B221:U221"/>
    <mergeCell ref="B222:U222"/>
    <mergeCell ref="B223:U223"/>
    <mergeCell ref="B214:U214"/>
    <mergeCell ref="B215:U215"/>
    <mergeCell ref="B216:U216"/>
    <mergeCell ref="B217:U217"/>
    <mergeCell ref="B218:U218"/>
    <mergeCell ref="B209:U209"/>
    <mergeCell ref="B210:U210"/>
    <mergeCell ref="B211:U211"/>
    <mergeCell ref="B212:U212"/>
    <mergeCell ref="B213:U213"/>
    <mergeCell ref="B204:U204"/>
    <mergeCell ref="B205:U205"/>
    <mergeCell ref="B206:U206"/>
    <mergeCell ref="B207:U207"/>
    <mergeCell ref="B208:U208"/>
    <mergeCell ref="B199:U199"/>
    <mergeCell ref="B200:U200"/>
    <mergeCell ref="B201:U201"/>
    <mergeCell ref="B202:U202"/>
    <mergeCell ref="B203:U203"/>
    <mergeCell ref="B194:U194"/>
    <mergeCell ref="B195:U195"/>
    <mergeCell ref="B196:U196"/>
    <mergeCell ref="B197:U197"/>
    <mergeCell ref="B198:U198"/>
    <mergeCell ref="B189:U189"/>
    <mergeCell ref="B190:U190"/>
    <mergeCell ref="B191:U191"/>
    <mergeCell ref="B192:U192"/>
    <mergeCell ref="B193:U193"/>
    <mergeCell ref="B184:U184"/>
    <mergeCell ref="B185:U185"/>
    <mergeCell ref="B186:U186"/>
    <mergeCell ref="B187:U187"/>
    <mergeCell ref="B188:U188"/>
    <mergeCell ref="B179:U179"/>
    <mergeCell ref="B180:U180"/>
    <mergeCell ref="B181:U181"/>
    <mergeCell ref="B182:U182"/>
    <mergeCell ref="B183:U183"/>
    <mergeCell ref="B174:U174"/>
    <mergeCell ref="B175:U175"/>
    <mergeCell ref="B176:U176"/>
    <mergeCell ref="B177:U177"/>
    <mergeCell ref="B178:U178"/>
    <mergeCell ref="B169:U169"/>
    <mergeCell ref="B170:U170"/>
    <mergeCell ref="B171:U171"/>
    <mergeCell ref="B172:U172"/>
    <mergeCell ref="B173:U173"/>
    <mergeCell ref="B164:U164"/>
    <mergeCell ref="B165:U165"/>
    <mergeCell ref="B166:U166"/>
    <mergeCell ref="B167:U167"/>
    <mergeCell ref="B168:U168"/>
    <mergeCell ref="B159:U159"/>
    <mergeCell ref="B160:U160"/>
    <mergeCell ref="B161:U161"/>
    <mergeCell ref="B162:U162"/>
    <mergeCell ref="B163:U163"/>
    <mergeCell ref="B154:U154"/>
    <mergeCell ref="B155:U155"/>
    <mergeCell ref="B156:U156"/>
    <mergeCell ref="B157:U157"/>
    <mergeCell ref="B158:U158"/>
    <mergeCell ref="B149:U149"/>
    <mergeCell ref="B150:U150"/>
    <mergeCell ref="B151:U151"/>
    <mergeCell ref="B152:U152"/>
    <mergeCell ref="B153:U153"/>
    <mergeCell ref="B144:U144"/>
    <mergeCell ref="B145:U145"/>
    <mergeCell ref="B146:U146"/>
    <mergeCell ref="B147:U147"/>
    <mergeCell ref="B148:U148"/>
    <mergeCell ref="B139:U139"/>
    <mergeCell ref="B140:U140"/>
    <mergeCell ref="B141:U141"/>
    <mergeCell ref="B142:U142"/>
    <mergeCell ref="B143:U143"/>
    <mergeCell ref="B134:U134"/>
    <mergeCell ref="B135:U135"/>
    <mergeCell ref="B136:U136"/>
    <mergeCell ref="B137:U137"/>
    <mergeCell ref="B138:U138"/>
    <mergeCell ref="B129:U129"/>
    <mergeCell ref="B130:U130"/>
    <mergeCell ref="B131:U131"/>
    <mergeCell ref="B132:U132"/>
    <mergeCell ref="B133:U133"/>
    <mergeCell ref="B124:U124"/>
    <mergeCell ref="B125:U125"/>
    <mergeCell ref="B126:U126"/>
    <mergeCell ref="B127:U127"/>
    <mergeCell ref="B128:U128"/>
    <mergeCell ref="B119:U119"/>
    <mergeCell ref="B120:U120"/>
    <mergeCell ref="B121:U121"/>
    <mergeCell ref="B122:U122"/>
    <mergeCell ref="B123:U123"/>
    <mergeCell ref="B114:U114"/>
    <mergeCell ref="B115:U115"/>
    <mergeCell ref="B116:U116"/>
    <mergeCell ref="B117:U117"/>
    <mergeCell ref="B118:U118"/>
    <mergeCell ref="B109:U109"/>
    <mergeCell ref="B110:U110"/>
    <mergeCell ref="B111:U111"/>
    <mergeCell ref="B112:U112"/>
    <mergeCell ref="B113:U113"/>
    <mergeCell ref="B104:U104"/>
    <mergeCell ref="B105:U105"/>
    <mergeCell ref="B106:U106"/>
    <mergeCell ref="B107:U107"/>
    <mergeCell ref="B108:U108"/>
    <mergeCell ref="B99:U99"/>
    <mergeCell ref="B100:U100"/>
    <mergeCell ref="B101:U101"/>
    <mergeCell ref="B102:U102"/>
    <mergeCell ref="B103:U103"/>
    <mergeCell ref="B94:U94"/>
    <mergeCell ref="B95:U95"/>
    <mergeCell ref="B96:U96"/>
    <mergeCell ref="B97:U97"/>
    <mergeCell ref="B98:U98"/>
    <mergeCell ref="B89:U89"/>
    <mergeCell ref="B90:U90"/>
    <mergeCell ref="B91:U91"/>
    <mergeCell ref="B92:U92"/>
    <mergeCell ref="B93:U93"/>
    <mergeCell ref="B84:U84"/>
    <mergeCell ref="B85:U85"/>
    <mergeCell ref="B86:U86"/>
    <mergeCell ref="B87:U87"/>
    <mergeCell ref="B88:U88"/>
    <mergeCell ref="B79:U79"/>
    <mergeCell ref="B80:U80"/>
    <mergeCell ref="B81:U81"/>
    <mergeCell ref="B82:U82"/>
    <mergeCell ref="B83:U83"/>
    <mergeCell ref="B74:U74"/>
    <mergeCell ref="B75:U75"/>
    <mergeCell ref="B76:U76"/>
    <mergeCell ref="B77:U77"/>
    <mergeCell ref="B78:U78"/>
    <mergeCell ref="B69:U69"/>
    <mergeCell ref="B70:U70"/>
    <mergeCell ref="B71:U71"/>
    <mergeCell ref="B72:U72"/>
    <mergeCell ref="B73:U73"/>
    <mergeCell ref="B64:U64"/>
    <mergeCell ref="B65:U65"/>
    <mergeCell ref="B66:U66"/>
    <mergeCell ref="B67:U67"/>
    <mergeCell ref="B68:U68"/>
    <mergeCell ref="B59:U59"/>
    <mergeCell ref="B60:U60"/>
    <mergeCell ref="B61:U61"/>
    <mergeCell ref="B62:U62"/>
    <mergeCell ref="B63:U63"/>
    <mergeCell ref="B54:U54"/>
    <mergeCell ref="B55:U55"/>
    <mergeCell ref="B56:U56"/>
    <mergeCell ref="B57:U57"/>
    <mergeCell ref="B58:U58"/>
    <mergeCell ref="B49:U49"/>
    <mergeCell ref="B50:U50"/>
    <mergeCell ref="B51:U51"/>
    <mergeCell ref="B52:U52"/>
    <mergeCell ref="B53:U53"/>
    <mergeCell ref="B44:U44"/>
    <mergeCell ref="B45:U45"/>
    <mergeCell ref="B46:U46"/>
    <mergeCell ref="B47:U47"/>
    <mergeCell ref="B48:U48"/>
    <mergeCell ref="B39:U39"/>
    <mergeCell ref="B40:U40"/>
    <mergeCell ref="B41:U41"/>
    <mergeCell ref="B42:U42"/>
    <mergeCell ref="B43:U43"/>
    <mergeCell ref="B34:U34"/>
    <mergeCell ref="B35:U35"/>
    <mergeCell ref="B36:U36"/>
    <mergeCell ref="B37:U37"/>
    <mergeCell ref="B38:U38"/>
    <mergeCell ref="B29:U29"/>
    <mergeCell ref="B30:U30"/>
    <mergeCell ref="B31:U31"/>
    <mergeCell ref="B32:U32"/>
    <mergeCell ref="B33:U33"/>
    <mergeCell ref="B24:U24"/>
    <mergeCell ref="B25:U25"/>
    <mergeCell ref="B26:U26"/>
    <mergeCell ref="B27:U27"/>
    <mergeCell ref="B28:U28"/>
    <mergeCell ref="B19:U19"/>
    <mergeCell ref="B20:U20"/>
    <mergeCell ref="B21:U21"/>
    <mergeCell ref="B22:U22"/>
    <mergeCell ref="B23:U23"/>
    <mergeCell ref="B14:U14"/>
    <mergeCell ref="B15:U15"/>
    <mergeCell ref="B16:U16"/>
    <mergeCell ref="B17:U17"/>
    <mergeCell ref="B18:U18"/>
    <mergeCell ref="B9:U9"/>
    <mergeCell ref="B10:U10"/>
    <mergeCell ref="B11:U11"/>
    <mergeCell ref="B12:U12"/>
    <mergeCell ref="B13:U13"/>
    <mergeCell ref="A1:AD1"/>
    <mergeCell ref="B5:U5"/>
    <mergeCell ref="B6:U6"/>
    <mergeCell ref="B7:U7"/>
    <mergeCell ref="B8:U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95"/>
  <sheetViews>
    <sheetView workbookViewId="0"/>
  </sheetViews>
  <sheetFormatPr defaultRowHeight="15" x14ac:dyDescent="0.25"/>
  <cols>
    <col min="1" max="21" width="9.140625" customWidth="1"/>
  </cols>
  <sheetData>
    <row r="1" spans="1:30" s="1" customFormat="1" ht="19.5" x14ac:dyDescent="0.3">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row>
    <row r="5" spans="1:30" s="15" customFormat="1" x14ac:dyDescent="0.25">
      <c r="B5" s="69" t="s">
        <v>3040</v>
      </c>
      <c r="C5" s="70"/>
      <c r="D5" s="70"/>
      <c r="E5" s="70"/>
      <c r="F5" s="70"/>
      <c r="G5" s="70"/>
      <c r="H5" s="70"/>
      <c r="I5" s="70"/>
      <c r="J5" s="70"/>
      <c r="K5" s="70"/>
      <c r="L5" s="70"/>
      <c r="M5" s="70"/>
      <c r="N5" s="70"/>
      <c r="O5" s="70"/>
      <c r="P5" s="70"/>
      <c r="Q5" s="70"/>
      <c r="R5" s="70"/>
      <c r="S5" s="70"/>
      <c r="T5" s="70"/>
      <c r="U5" s="71"/>
    </row>
    <row r="6" spans="1:30" s="15" customFormat="1" x14ac:dyDescent="0.25">
      <c r="B6" s="72" t="s">
        <v>3041</v>
      </c>
      <c r="C6" s="73"/>
      <c r="D6" s="73"/>
      <c r="E6" s="73"/>
      <c r="F6" s="73"/>
      <c r="G6" s="73"/>
      <c r="H6" s="73"/>
      <c r="I6" s="73"/>
      <c r="J6" s="73"/>
      <c r="K6" s="73"/>
      <c r="L6" s="73"/>
      <c r="M6" s="73"/>
      <c r="N6" s="73"/>
      <c r="O6" s="73"/>
      <c r="P6" s="73"/>
      <c r="Q6" s="73"/>
      <c r="R6" s="73"/>
      <c r="S6" s="73"/>
      <c r="T6" s="73"/>
      <c r="U6" s="74"/>
    </row>
    <row r="7" spans="1:30" s="15" customFormat="1" x14ac:dyDescent="0.25">
      <c r="B7" s="72" t="s">
        <v>3042</v>
      </c>
      <c r="C7" s="73"/>
      <c r="D7" s="73"/>
      <c r="E7" s="73"/>
      <c r="F7" s="73"/>
      <c r="G7" s="73"/>
      <c r="H7" s="73"/>
      <c r="I7" s="73"/>
      <c r="J7" s="73"/>
      <c r="K7" s="73"/>
      <c r="L7" s="73"/>
      <c r="M7" s="73"/>
      <c r="N7" s="73"/>
      <c r="O7" s="73"/>
      <c r="P7" s="73"/>
      <c r="Q7" s="73"/>
      <c r="R7" s="73"/>
      <c r="S7" s="73"/>
      <c r="T7" s="73"/>
      <c r="U7" s="74"/>
    </row>
    <row r="8" spans="1:30" s="15" customFormat="1" x14ac:dyDescent="0.25">
      <c r="B8" s="72" t="s">
        <v>3043</v>
      </c>
      <c r="C8" s="73"/>
      <c r="D8" s="73"/>
      <c r="E8" s="73"/>
      <c r="F8" s="73"/>
      <c r="G8" s="73"/>
      <c r="H8" s="73"/>
      <c r="I8" s="73"/>
      <c r="J8" s="73"/>
      <c r="K8" s="73"/>
      <c r="L8" s="73"/>
      <c r="M8" s="73"/>
      <c r="N8" s="73"/>
      <c r="O8" s="73"/>
      <c r="P8" s="73"/>
      <c r="Q8" s="73"/>
      <c r="R8" s="73"/>
      <c r="S8" s="73"/>
      <c r="T8" s="73"/>
      <c r="U8" s="74"/>
    </row>
    <row r="9" spans="1:30" s="15" customFormat="1" x14ac:dyDescent="0.25">
      <c r="B9" s="72" t="s">
        <v>3044</v>
      </c>
      <c r="C9" s="73"/>
      <c r="D9" s="73"/>
      <c r="E9" s="73"/>
      <c r="F9" s="73"/>
      <c r="G9" s="73"/>
      <c r="H9" s="73"/>
      <c r="I9" s="73"/>
      <c r="J9" s="73"/>
      <c r="K9" s="73"/>
      <c r="L9" s="73"/>
      <c r="M9" s="73"/>
      <c r="N9" s="73"/>
      <c r="O9" s="73"/>
      <c r="P9" s="73"/>
      <c r="Q9" s="73"/>
      <c r="R9" s="73"/>
      <c r="S9" s="73"/>
      <c r="T9" s="73"/>
      <c r="U9" s="74"/>
    </row>
    <row r="10" spans="1:30" s="15" customFormat="1" x14ac:dyDescent="0.25">
      <c r="B10" s="72" t="s">
        <v>3045</v>
      </c>
      <c r="C10" s="73"/>
      <c r="D10" s="73"/>
      <c r="E10" s="73"/>
      <c r="F10" s="73"/>
      <c r="G10" s="73"/>
      <c r="H10" s="73"/>
      <c r="I10" s="73"/>
      <c r="J10" s="73"/>
      <c r="K10" s="73"/>
      <c r="L10" s="73"/>
      <c r="M10" s="73"/>
      <c r="N10" s="73"/>
      <c r="O10" s="73"/>
      <c r="P10" s="73"/>
      <c r="Q10" s="73"/>
      <c r="R10" s="73"/>
      <c r="S10" s="73"/>
      <c r="T10" s="73"/>
      <c r="U10" s="74"/>
    </row>
    <row r="11" spans="1:30" s="15" customFormat="1" x14ac:dyDescent="0.25">
      <c r="B11" s="72" t="s">
        <v>3473</v>
      </c>
      <c r="C11" s="73"/>
      <c r="D11" s="73"/>
      <c r="E11" s="73"/>
      <c r="F11" s="73"/>
      <c r="G11" s="73"/>
      <c r="H11" s="73"/>
      <c r="I11" s="73"/>
      <c r="J11" s="73"/>
      <c r="K11" s="73"/>
      <c r="L11" s="73"/>
      <c r="M11" s="73"/>
      <c r="N11" s="73"/>
      <c r="O11" s="73"/>
      <c r="P11" s="73"/>
      <c r="Q11" s="73"/>
      <c r="R11" s="73"/>
      <c r="S11" s="73"/>
      <c r="T11" s="73"/>
      <c r="U11" s="74"/>
    </row>
    <row r="12" spans="1:30" s="15" customFormat="1" x14ac:dyDescent="0.25">
      <c r="B12" s="72" t="s">
        <v>3474</v>
      </c>
      <c r="C12" s="73"/>
      <c r="D12" s="73"/>
      <c r="E12" s="73"/>
      <c r="F12" s="73"/>
      <c r="G12" s="73"/>
      <c r="H12" s="73"/>
      <c r="I12" s="73"/>
      <c r="J12" s="73"/>
      <c r="K12" s="73"/>
      <c r="L12" s="73"/>
      <c r="M12" s="73"/>
      <c r="N12" s="73"/>
      <c r="O12" s="73"/>
      <c r="P12" s="73"/>
      <c r="Q12" s="73"/>
      <c r="R12" s="73"/>
      <c r="S12" s="73"/>
      <c r="T12" s="73"/>
      <c r="U12" s="74"/>
    </row>
    <row r="13" spans="1:30" s="15" customFormat="1" x14ac:dyDescent="0.25">
      <c r="B13" s="72" t="s">
        <v>3048</v>
      </c>
      <c r="C13" s="73"/>
      <c r="D13" s="73"/>
      <c r="E13" s="73"/>
      <c r="F13" s="73"/>
      <c r="G13" s="73"/>
      <c r="H13" s="73"/>
      <c r="I13" s="73"/>
      <c r="J13" s="73"/>
      <c r="K13" s="73"/>
      <c r="L13" s="73"/>
      <c r="M13" s="73"/>
      <c r="N13" s="73"/>
      <c r="O13" s="73"/>
      <c r="P13" s="73"/>
      <c r="Q13" s="73"/>
      <c r="R13" s="73"/>
      <c r="S13" s="73"/>
      <c r="T13" s="73"/>
      <c r="U13" s="74"/>
    </row>
    <row r="14" spans="1:30" s="15" customFormat="1" x14ac:dyDescent="0.25">
      <c r="B14" s="72" t="s">
        <v>3049</v>
      </c>
      <c r="C14" s="73"/>
      <c r="D14" s="73"/>
      <c r="E14" s="73"/>
      <c r="F14" s="73"/>
      <c r="G14" s="73"/>
      <c r="H14" s="73"/>
      <c r="I14" s="73"/>
      <c r="J14" s="73"/>
      <c r="K14" s="73"/>
      <c r="L14" s="73"/>
      <c r="M14" s="73"/>
      <c r="N14" s="73"/>
      <c r="O14" s="73"/>
      <c r="P14" s="73"/>
      <c r="Q14" s="73"/>
      <c r="R14" s="73"/>
      <c r="S14" s="73"/>
      <c r="T14" s="73"/>
      <c r="U14" s="74"/>
    </row>
    <row r="15" spans="1:30" s="15" customFormat="1" x14ac:dyDescent="0.25">
      <c r="B15" s="72" t="s">
        <v>3050</v>
      </c>
      <c r="C15" s="73"/>
      <c r="D15" s="73"/>
      <c r="E15" s="73"/>
      <c r="F15" s="73"/>
      <c r="G15" s="73"/>
      <c r="H15" s="73"/>
      <c r="I15" s="73"/>
      <c r="J15" s="73"/>
      <c r="K15" s="73"/>
      <c r="L15" s="73"/>
      <c r="M15" s="73"/>
      <c r="N15" s="73"/>
      <c r="O15" s="73"/>
      <c r="P15" s="73"/>
      <c r="Q15" s="73"/>
      <c r="R15" s="73"/>
      <c r="S15" s="73"/>
      <c r="T15" s="73"/>
      <c r="U15" s="74"/>
    </row>
    <row r="16" spans="1:30" s="15" customFormat="1" x14ac:dyDescent="0.25">
      <c r="B16" s="72" t="s">
        <v>3051</v>
      </c>
      <c r="C16" s="73"/>
      <c r="D16" s="73"/>
      <c r="E16" s="73"/>
      <c r="F16" s="73"/>
      <c r="G16" s="73"/>
      <c r="H16" s="73"/>
      <c r="I16" s="73"/>
      <c r="J16" s="73"/>
      <c r="K16" s="73"/>
      <c r="L16" s="73"/>
      <c r="M16" s="73"/>
      <c r="N16" s="73"/>
      <c r="O16" s="73"/>
      <c r="P16" s="73"/>
      <c r="Q16" s="73"/>
      <c r="R16" s="73"/>
      <c r="S16" s="73"/>
      <c r="T16" s="73"/>
      <c r="U16" s="74"/>
    </row>
    <row r="17" spans="2:21" s="15" customFormat="1" x14ac:dyDescent="0.25">
      <c r="B17" s="72" t="s">
        <v>3052</v>
      </c>
      <c r="C17" s="73"/>
      <c r="D17" s="73"/>
      <c r="E17" s="73"/>
      <c r="F17" s="73"/>
      <c r="G17" s="73"/>
      <c r="H17" s="73"/>
      <c r="I17" s="73"/>
      <c r="J17" s="73"/>
      <c r="K17" s="73"/>
      <c r="L17" s="73"/>
      <c r="M17" s="73"/>
      <c r="N17" s="73"/>
      <c r="O17" s="73"/>
      <c r="P17" s="73"/>
      <c r="Q17" s="73"/>
      <c r="R17" s="73"/>
      <c r="S17" s="73"/>
      <c r="T17" s="73"/>
      <c r="U17" s="74"/>
    </row>
    <row r="18" spans="2:21" s="15" customFormat="1" x14ac:dyDescent="0.25">
      <c r="B18" s="72" t="s">
        <v>3475</v>
      </c>
      <c r="C18" s="73"/>
      <c r="D18" s="73"/>
      <c r="E18" s="73"/>
      <c r="F18" s="73"/>
      <c r="G18" s="73"/>
      <c r="H18" s="73"/>
      <c r="I18" s="73"/>
      <c r="J18" s="73"/>
      <c r="K18" s="73"/>
      <c r="L18" s="73"/>
      <c r="M18" s="73"/>
      <c r="N18" s="73"/>
      <c r="O18" s="73"/>
      <c r="P18" s="73"/>
      <c r="Q18" s="73"/>
      <c r="R18" s="73"/>
      <c r="S18" s="73"/>
      <c r="T18" s="73"/>
      <c r="U18" s="74"/>
    </row>
    <row r="19" spans="2:21" s="15" customFormat="1" x14ac:dyDescent="0.25">
      <c r="B19" s="72" t="s">
        <v>3216</v>
      </c>
      <c r="C19" s="73"/>
      <c r="D19" s="73"/>
      <c r="E19" s="73"/>
      <c r="F19" s="73"/>
      <c r="G19" s="73"/>
      <c r="H19" s="73"/>
      <c r="I19" s="73"/>
      <c r="J19" s="73"/>
      <c r="K19" s="73"/>
      <c r="L19" s="73"/>
      <c r="M19" s="73"/>
      <c r="N19" s="73"/>
      <c r="O19" s="73"/>
      <c r="P19" s="73"/>
      <c r="Q19" s="73"/>
      <c r="R19" s="73"/>
      <c r="S19" s="73"/>
      <c r="T19" s="73"/>
      <c r="U19" s="74"/>
    </row>
    <row r="20" spans="2:21" s="15" customFormat="1" x14ac:dyDescent="0.25">
      <c r="B20" s="72" t="s">
        <v>3476</v>
      </c>
      <c r="C20" s="73"/>
      <c r="D20" s="73"/>
      <c r="E20" s="73"/>
      <c r="F20" s="73"/>
      <c r="G20" s="73"/>
      <c r="H20" s="73"/>
      <c r="I20" s="73"/>
      <c r="J20" s="73"/>
      <c r="K20" s="73"/>
      <c r="L20" s="73"/>
      <c r="M20" s="73"/>
      <c r="N20" s="73"/>
      <c r="O20" s="73"/>
      <c r="P20" s="73"/>
      <c r="Q20" s="73"/>
      <c r="R20" s="73"/>
      <c r="S20" s="73"/>
      <c r="T20" s="73"/>
      <c r="U20" s="74"/>
    </row>
    <row r="21" spans="2:21" s="15" customFormat="1" x14ac:dyDescent="0.25">
      <c r="B21" s="72" t="s">
        <v>3420</v>
      </c>
      <c r="C21" s="73"/>
      <c r="D21" s="73"/>
      <c r="E21" s="73"/>
      <c r="F21" s="73"/>
      <c r="G21" s="73"/>
      <c r="H21" s="73"/>
      <c r="I21" s="73"/>
      <c r="J21" s="73"/>
      <c r="K21" s="73"/>
      <c r="L21" s="73"/>
      <c r="M21" s="73"/>
      <c r="N21" s="73"/>
      <c r="O21" s="73"/>
      <c r="P21" s="73"/>
      <c r="Q21" s="73"/>
      <c r="R21" s="73"/>
      <c r="S21" s="73"/>
      <c r="T21" s="73"/>
      <c r="U21" s="74"/>
    </row>
    <row r="22" spans="2:21" s="15" customFormat="1" x14ac:dyDescent="0.25">
      <c r="B22" s="72" t="s">
        <v>3058</v>
      </c>
      <c r="C22" s="73"/>
      <c r="D22" s="73"/>
      <c r="E22" s="73"/>
      <c r="F22" s="73"/>
      <c r="G22" s="73"/>
      <c r="H22" s="73"/>
      <c r="I22" s="73"/>
      <c r="J22" s="73"/>
      <c r="K22" s="73"/>
      <c r="L22" s="73"/>
      <c r="M22" s="73"/>
      <c r="N22" s="73"/>
      <c r="O22" s="73"/>
      <c r="P22" s="73"/>
      <c r="Q22" s="73"/>
      <c r="R22" s="73"/>
      <c r="S22" s="73"/>
      <c r="T22" s="73"/>
      <c r="U22" s="74"/>
    </row>
    <row r="23" spans="2:21" s="15" customFormat="1" x14ac:dyDescent="0.25">
      <c r="B23" s="72" t="s">
        <v>3059</v>
      </c>
      <c r="C23" s="73"/>
      <c r="D23" s="73"/>
      <c r="E23" s="73"/>
      <c r="F23" s="73"/>
      <c r="G23" s="73"/>
      <c r="H23" s="73"/>
      <c r="I23" s="73"/>
      <c r="J23" s="73"/>
      <c r="K23" s="73"/>
      <c r="L23" s="73"/>
      <c r="M23" s="73"/>
      <c r="N23" s="73"/>
      <c r="O23" s="73"/>
      <c r="P23" s="73"/>
      <c r="Q23" s="73"/>
      <c r="R23" s="73"/>
      <c r="S23" s="73"/>
      <c r="T23" s="73"/>
      <c r="U23" s="74"/>
    </row>
    <row r="24" spans="2:21" s="15" customFormat="1" x14ac:dyDescent="0.25">
      <c r="B24" s="72" t="s">
        <v>3477</v>
      </c>
      <c r="C24" s="73"/>
      <c r="D24" s="73"/>
      <c r="E24" s="73"/>
      <c r="F24" s="73"/>
      <c r="G24" s="73"/>
      <c r="H24" s="73"/>
      <c r="I24" s="73"/>
      <c r="J24" s="73"/>
      <c r="K24" s="73"/>
      <c r="L24" s="73"/>
      <c r="M24" s="73"/>
      <c r="N24" s="73"/>
      <c r="O24" s="73"/>
      <c r="P24" s="73"/>
      <c r="Q24" s="73"/>
      <c r="R24" s="73"/>
      <c r="S24" s="73"/>
      <c r="T24" s="73"/>
      <c r="U24" s="74"/>
    </row>
    <row r="25" spans="2:21" s="15" customFormat="1" x14ac:dyDescent="0.25">
      <c r="B25" s="72" t="s">
        <v>3478</v>
      </c>
      <c r="C25" s="73"/>
      <c r="D25" s="73"/>
      <c r="E25" s="73"/>
      <c r="F25" s="73"/>
      <c r="G25" s="73"/>
      <c r="H25" s="73"/>
      <c r="I25" s="73"/>
      <c r="J25" s="73"/>
      <c r="K25" s="73"/>
      <c r="L25" s="73"/>
      <c r="M25" s="73"/>
      <c r="N25" s="73"/>
      <c r="O25" s="73"/>
      <c r="P25" s="73"/>
      <c r="Q25" s="73"/>
      <c r="R25" s="73"/>
      <c r="S25" s="73"/>
      <c r="T25" s="73"/>
      <c r="U25" s="74"/>
    </row>
    <row r="26" spans="2:21" s="15" customFormat="1" x14ac:dyDescent="0.25">
      <c r="B26" s="72" t="s">
        <v>3626</v>
      </c>
      <c r="C26" s="73"/>
      <c r="D26" s="73"/>
      <c r="E26" s="73"/>
      <c r="F26" s="73"/>
      <c r="G26" s="73"/>
      <c r="H26" s="73"/>
      <c r="I26" s="73"/>
      <c r="J26" s="73"/>
      <c r="K26" s="73"/>
      <c r="L26" s="73"/>
      <c r="M26" s="73"/>
      <c r="N26" s="73"/>
      <c r="O26" s="73"/>
      <c r="P26" s="73"/>
      <c r="Q26" s="73"/>
      <c r="R26" s="73"/>
      <c r="S26" s="73"/>
      <c r="T26" s="73"/>
      <c r="U26" s="74"/>
    </row>
    <row r="27" spans="2:21" s="15" customFormat="1" x14ac:dyDescent="0.25">
      <c r="B27" s="72" t="s">
        <v>3221</v>
      </c>
      <c r="C27" s="73"/>
      <c r="D27" s="73"/>
      <c r="E27" s="73"/>
      <c r="F27" s="73"/>
      <c r="G27" s="73"/>
      <c r="H27" s="73"/>
      <c r="I27" s="73"/>
      <c r="J27" s="73"/>
      <c r="K27" s="73"/>
      <c r="L27" s="73"/>
      <c r="M27" s="73"/>
      <c r="N27" s="73"/>
      <c r="O27" s="73"/>
      <c r="P27" s="73"/>
      <c r="Q27" s="73"/>
      <c r="R27" s="73"/>
      <c r="S27" s="73"/>
      <c r="T27" s="73"/>
      <c r="U27" s="74"/>
    </row>
    <row r="28" spans="2:21" s="15" customFormat="1" x14ac:dyDescent="0.25">
      <c r="B28" s="72" t="s">
        <v>3222</v>
      </c>
      <c r="C28" s="73"/>
      <c r="D28" s="73"/>
      <c r="E28" s="73"/>
      <c r="F28" s="73"/>
      <c r="G28" s="73"/>
      <c r="H28" s="73"/>
      <c r="I28" s="73"/>
      <c r="J28" s="73"/>
      <c r="K28" s="73"/>
      <c r="L28" s="73"/>
      <c r="M28" s="73"/>
      <c r="N28" s="73"/>
      <c r="O28" s="73"/>
      <c r="P28" s="73"/>
      <c r="Q28" s="73"/>
      <c r="R28" s="73"/>
      <c r="S28" s="73"/>
      <c r="T28" s="73"/>
      <c r="U28" s="74"/>
    </row>
    <row r="29" spans="2:21" s="15" customFormat="1" x14ac:dyDescent="0.25">
      <c r="B29" s="72" t="s">
        <v>3480</v>
      </c>
      <c r="C29" s="73"/>
      <c r="D29" s="73"/>
      <c r="E29" s="73"/>
      <c r="F29" s="73"/>
      <c r="G29" s="73"/>
      <c r="H29" s="73"/>
      <c r="I29" s="73"/>
      <c r="J29" s="73"/>
      <c r="K29" s="73"/>
      <c r="L29" s="73"/>
      <c r="M29" s="73"/>
      <c r="N29" s="73"/>
      <c r="O29" s="73"/>
      <c r="P29" s="73"/>
      <c r="Q29" s="73"/>
      <c r="R29" s="73"/>
      <c r="S29" s="73"/>
      <c r="T29" s="73"/>
      <c r="U29" s="74"/>
    </row>
    <row r="30" spans="2:21" s="15" customFormat="1" x14ac:dyDescent="0.25">
      <c r="B30" s="72" t="s">
        <v>3424</v>
      </c>
      <c r="C30" s="73"/>
      <c r="D30" s="73"/>
      <c r="E30" s="73"/>
      <c r="F30" s="73"/>
      <c r="G30" s="73"/>
      <c r="H30" s="73"/>
      <c r="I30" s="73"/>
      <c r="J30" s="73"/>
      <c r="K30" s="73"/>
      <c r="L30" s="73"/>
      <c r="M30" s="73"/>
      <c r="N30" s="73"/>
      <c r="O30" s="73"/>
      <c r="P30" s="73"/>
      <c r="Q30" s="73"/>
      <c r="R30" s="73"/>
      <c r="S30" s="73"/>
      <c r="T30" s="73"/>
      <c r="U30" s="74"/>
    </row>
    <row r="31" spans="2:21" s="15" customFormat="1" x14ac:dyDescent="0.25">
      <c r="B31" s="72" t="s">
        <v>3066</v>
      </c>
      <c r="C31" s="73"/>
      <c r="D31" s="73"/>
      <c r="E31" s="73"/>
      <c r="F31" s="73"/>
      <c r="G31" s="73"/>
      <c r="H31" s="73"/>
      <c r="I31" s="73"/>
      <c r="J31" s="73"/>
      <c r="K31" s="73"/>
      <c r="L31" s="73"/>
      <c r="M31" s="73"/>
      <c r="N31" s="73"/>
      <c r="O31" s="73"/>
      <c r="P31" s="73"/>
      <c r="Q31" s="73"/>
      <c r="R31" s="73"/>
      <c r="S31" s="73"/>
      <c r="T31" s="73"/>
      <c r="U31" s="74"/>
    </row>
    <row r="32" spans="2:21" s="15" customFormat="1" x14ac:dyDescent="0.25">
      <c r="B32" s="72" t="s">
        <v>3481</v>
      </c>
      <c r="C32" s="73"/>
      <c r="D32" s="73"/>
      <c r="E32" s="73"/>
      <c r="F32" s="73"/>
      <c r="G32" s="73"/>
      <c r="H32" s="73"/>
      <c r="I32" s="73"/>
      <c r="J32" s="73"/>
      <c r="K32" s="73"/>
      <c r="L32" s="73"/>
      <c r="M32" s="73"/>
      <c r="N32" s="73"/>
      <c r="O32" s="73"/>
      <c r="P32" s="73"/>
      <c r="Q32" s="73"/>
      <c r="R32" s="73"/>
      <c r="S32" s="73"/>
      <c r="T32" s="73"/>
      <c r="U32" s="74"/>
    </row>
    <row r="33" spans="2:21" s="15" customFormat="1" x14ac:dyDescent="0.25">
      <c r="B33" s="72" t="s">
        <v>3482</v>
      </c>
      <c r="C33" s="73"/>
      <c r="D33" s="73"/>
      <c r="E33" s="73"/>
      <c r="F33" s="73"/>
      <c r="G33" s="73"/>
      <c r="H33" s="73"/>
      <c r="I33" s="73"/>
      <c r="J33" s="73"/>
      <c r="K33" s="73"/>
      <c r="L33" s="73"/>
      <c r="M33" s="73"/>
      <c r="N33" s="73"/>
      <c r="O33" s="73"/>
      <c r="P33" s="73"/>
      <c r="Q33" s="73"/>
      <c r="R33" s="73"/>
      <c r="S33" s="73"/>
      <c r="T33" s="73"/>
      <c r="U33" s="74"/>
    </row>
    <row r="34" spans="2:21" s="15" customFormat="1" x14ac:dyDescent="0.25">
      <c r="B34" s="72" t="s">
        <v>3425</v>
      </c>
      <c r="C34" s="73"/>
      <c r="D34" s="73"/>
      <c r="E34" s="73"/>
      <c r="F34" s="73"/>
      <c r="G34" s="73"/>
      <c r="H34" s="73"/>
      <c r="I34" s="73"/>
      <c r="J34" s="73"/>
      <c r="K34" s="73"/>
      <c r="L34" s="73"/>
      <c r="M34" s="73"/>
      <c r="N34" s="73"/>
      <c r="O34" s="73"/>
      <c r="P34" s="73"/>
      <c r="Q34" s="73"/>
      <c r="R34" s="73"/>
      <c r="S34" s="73"/>
      <c r="T34" s="73"/>
      <c r="U34" s="74"/>
    </row>
    <row r="35" spans="2:21" s="15" customFormat="1" x14ac:dyDescent="0.25">
      <c r="B35" s="72" t="s">
        <v>3426</v>
      </c>
      <c r="C35" s="73"/>
      <c r="D35" s="73"/>
      <c r="E35" s="73"/>
      <c r="F35" s="73"/>
      <c r="G35" s="73"/>
      <c r="H35" s="73"/>
      <c r="I35" s="73"/>
      <c r="J35" s="73"/>
      <c r="K35" s="73"/>
      <c r="L35" s="73"/>
      <c r="M35" s="73"/>
      <c r="N35" s="73"/>
      <c r="O35" s="73"/>
      <c r="P35" s="73"/>
      <c r="Q35" s="73"/>
      <c r="R35" s="73"/>
      <c r="S35" s="73"/>
      <c r="T35" s="73"/>
      <c r="U35" s="74"/>
    </row>
    <row r="36" spans="2:21" s="15" customFormat="1" x14ac:dyDescent="0.25">
      <c r="B36" s="72" t="s">
        <v>3483</v>
      </c>
      <c r="C36" s="73"/>
      <c r="D36" s="73"/>
      <c r="E36" s="73"/>
      <c r="F36" s="73"/>
      <c r="G36" s="73"/>
      <c r="H36" s="73"/>
      <c r="I36" s="73"/>
      <c r="J36" s="73"/>
      <c r="K36" s="73"/>
      <c r="L36" s="73"/>
      <c r="M36" s="73"/>
      <c r="N36" s="73"/>
      <c r="O36" s="73"/>
      <c r="P36" s="73"/>
      <c r="Q36" s="73"/>
      <c r="R36" s="73"/>
      <c r="S36" s="73"/>
      <c r="T36" s="73"/>
      <c r="U36" s="74"/>
    </row>
    <row r="37" spans="2:21" s="15" customFormat="1" x14ac:dyDescent="0.25">
      <c r="B37" s="72" t="s">
        <v>3071</v>
      </c>
      <c r="C37" s="73"/>
      <c r="D37" s="73"/>
      <c r="E37" s="73"/>
      <c r="F37" s="73"/>
      <c r="G37" s="73"/>
      <c r="H37" s="73"/>
      <c r="I37" s="73"/>
      <c r="J37" s="73"/>
      <c r="K37" s="73"/>
      <c r="L37" s="73"/>
      <c r="M37" s="73"/>
      <c r="N37" s="73"/>
      <c r="O37" s="73"/>
      <c r="P37" s="73"/>
      <c r="Q37" s="73"/>
      <c r="R37" s="73"/>
      <c r="S37" s="73"/>
      <c r="T37" s="73"/>
      <c r="U37" s="74"/>
    </row>
    <row r="38" spans="2:21" s="15" customFormat="1" x14ac:dyDescent="0.25">
      <c r="B38" s="72" t="s">
        <v>3484</v>
      </c>
      <c r="C38" s="73"/>
      <c r="D38" s="73"/>
      <c r="E38" s="73"/>
      <c r="F38" s="73"/>
      <c r="G38" s="73"/>
      <c r="H38" s="73"/>
      <c r="I38" s="73"/>
      <c r="J38" s="73"/>
      <c r="K38" s="73"/>
      <c r="L38" s="73"/>
      <c r="M38" s="73"/>
      <c r="N38" s="73"/>
      <c r="O38" s="73"/>
      <c r="P38" s="73"/>
      <c r="Q38" s="73"/>
      <c r="R38" s="73"/>
      <c r="S38" s="73"/>
      <c r="T38" s="73"/>
      <c r="U38" s="74"/>
    </row>
    <row r="39" spans="2:21" s="15" customFormat="1" x14ac:dyDescent="0.25">
      <c r="B39" s="72" t="s">
        <v>3083</v>
      </c>
      <c r="C39" s="73"/>
      <c r="D39" s="73"/>
      <c r="E39" s="73"/>
      <c r="F39" s="73"/>
      <c r="G39" s="73"/>
      <c r="H39" s="73"/>
      <c r="I39" s="73"/>
      <c r="J39" s="73"/>
      <c r="K39" s="73"/>
      <c r="L39" s="73"/>
      <c r="M39" s="73"/>
      <c r="N39" s="73"/>
      <c r="O39" s="73"/>
      <c r="P39" s="73"/>
      <c r="Q39" s="73"/>
      <c r="R39" s="73"/>
      <c r="S39" s="73"/>
      <c r="T39" s="73"/>
      <c r="U39" s="74"/>
    </row>
    <row r="40" spans="2:21" s="15" customFormat="1" x14ac:dyDescent="0.25">
      <c r="B40" s="72" t="s">
        <v>3058</v>
      </c>
      <c r="C40" s="73"/>
      <c r="D40" s="73"/>
      <c r="E40" s="73"/>
      <c r="F40" s="73"/>
      <c r="G40" s="73"/>
      <c r="H40" s="73"/>
      <c r="I40" s="73"/>
      <c r="J40" s="73"/>
      <c r="K40" s="73"/>
      <c r="L40" s="73"/>
      <c r="M40" s="73"/>
      <c r="N40" s="73"/>
      <c r="O40" s="73"/>
      <c r="P40" s="73"/>
      <c r="Q40" s="73"/>
      <c r="R40" s="73"/>
      <c r="S40" s="73"/>
      <c r="T40" s="73"/>
      <c r="U40" s="74"/>
    </row>
    <row r="41" spans="2:21" s="15" customFormat="1" x14ac:dyDescent="0.25">
      <c r="B41" s="72" t="s">
        <v>3485</v>
      </c>
      <c r="C41" s="73"/>
      <c r="D41" s="73"/>
      <c r="E41" s="73"/>
      <c r="F41" s="73"/>
      <c r="G41" s="73"/>
      <c r="H41" s="73"/>
      <c r="I41" s="73"/>
      <c r="J41" s="73"/>
      <c r="K41" s="73"/>
      <c r="L41" s="73"/>
      <c r="M41" s="73"/>
      <c r="N41" s="73"/>
      <c r="O41" s="73"/>
      <c r="P41" s="73"/>
      <c r="Q41" s="73"/>
      <c r="R41" s="73"/>
      <c r="S41" s="73"/>
      <c r="T41" s="73"/>
      <c r="U41" s="74"/>
    </row>
    <row r="42" spans="2:21" s="15" customFormat="1" x14ac:dyDescent="0.25">
      <c r="B42" s="72" t="s">
        <v>3085</v>
      </c>
      <c r="C42" s="73"/>
      <c r="D42" s="73"/>
      <c r="E42" s="73"/>
      <c r="F42" s="73"/>
      <c r="G42" s="73"/>
      <c r="H42" s="73"/>
      <c r="I42" s="73"/>
      <c r="J42" s="73"/>
      <c r="K42" s="73"/>
      <c r="L42" s="73"/>
      <c r="M42" s="73"/>
      <c r="N42" s="73"/>
      <c r="O42" s="73"/>
      <c r="P42" s="73"/>
      <c r="Q42" s="73"/>
      <c r="R42" s="73"/>
      <c r="S42" s="73"/>
      <c r="T42" s="73"/>
      <c r="U42" s="74"/>
    </row>
    <row r="43" spans="2:21" s="15" customFormat="1" x14ac:dyDescent="0.25">
      <c r="B43" s="72" t="s">
        <v>3486</v>
      </c>
      <c r="C43" s="73"/>
      <c r="D43" s="73"/>
      <c r="E43" s="73"/>
      <c r="F43" s="73"/>
      <c r="G43" s="73"/>
      <c r="H43" s="73"/>
      <c r="I43" s="73"/>
      <c r="J43" s="73"/>
      <c r="K43" s="73"/>
      <c r="L43" s="73"/>
      <c r="M43" s="73"/>
      <c r="N43" s="73"/>
      <c r="O43" s="73"/>
      <c r="P43" s="73"/>
      <c r="Q43" s="73"/>
      <c r="R43" s="73"/>
      <c r="S43" s="73"/>
      <c r="T43" s="73"/>
      <c r="U43" s="74"/>
    </row>
    <row r="44" spans="2:21" s="15" customFormat="1" x14ac:dyDescent="0.25">
      <c r="B44" s="72" t="s">
        <v>3487</v>
      </c>
      <c r="C44" s="73"/>
      <c r="D44" s="73"/>
      <c r="E44" s="73"/>
      <c r="F44" s="73"/>
      <c r="G44" s="73"/>
      <c r="H44" s="73"/>
      <c r="I44" s="73"/>
      <c r="J44" s="73"/>
      <c r="K44" s="73"/>
      <c r="L44" s="73"/>
      <c r="M44" s="73"/>
      <c r="N44" s="73"/>
      <c r="O44" s="73"/>
      <c r="P44" s="73"/>
      <c r="Q44" s="73"/>
      <c r="R44" s="73"/>
      <c r="S44" s="73"/>
      <c r="T44" s="73"/>
      <c r="U44" s="74"/>
    </row>
    <row r="45" spans="2:21" s="15" customFormat="1" x14ac:dyDescent="0.25">
      <c r="B45" s="72" t="s">
        <v>3488</v>
      </c>
      <c r="C45" s="73"/>
      <c r="D45" s="73"/>
      <c r="E45" s="73"/>
      <c r="F45" s="73"/>
      <c r="G45" s="73"/>
      <c r="H45" s="73"/>
      <c r="I45" s="73"/>
      <c r="J45" s="73"/>
      <c r="K45" s="73"/>
      <c r="L45" s="73"/>
      <c r="M45" s="73"/>
      <c r="N45" s="73"/>
      <c r="O45" s="73"/>
      <c r="P45" s="73"/>
      <c r="Q45" s="73"/>
      <c r="R45" s="73"/>
      <c r="S45" s="73"/>
      <c r="T45" s="73"/>
      <c r="U45" s="74"/>
    </row>
    <row r="46" spans="2:21" s="15" customFormat="1" x14ac:dyDescent="0.25">
      <c r="B46" s="72" t="s">
        <v>3489</v>
      </c>
      <c r="C46" s="73"/>
      <c r="D46" s="73"/>
      <c r="E46" s="73"/>
      <c r="F46" s="73"/>
      <c r="G46" s="73"/>
      <c r="H46" s="73"/>
      <c r="I46" s="73"/>
      <c r="J46" s="73"/>
      <c r="K46" s="73"/>
      <c r="L46" s="73"/>
      <c r="M46" s="73"/>
      <c r="N46" s="73"/>
      <c r="O46" s="73"/>
      <c r="P46" s="73"/>
      <c r="Q46" s="73"/>
      <c r="R46" s="73"/>
      <c r="S46" s="73"/>
      <c r="T46" s="73"/>
      <c r="U46" s="74"/>
    </row>
    <row r="47" spans="2:21" s="15" customFormat="1" x14ac:dyDescent="0.25">
      <c r="B47" s="72" t="s">
        <v>3490</v>
      </c>
      <c r="C47" s="73"/>
      <c r="D47" s="73"/>
      <c r="E47" s="73"/>
      <c r="F47" s="73"/>
      <c r="G47" s="73"/>
      <c r="H47" s="73"/>
      <c r="I47" s="73"/>
      <c r="J47" s="73"/>
      <c r="K47" s="73"/>
      <c r="L47" s="73"/>
      <c r="M47" s="73"/>
      <c r="N47" s="73"/>
      <c r="O47" s="73"/>
      <c r="P47" s="73"/>
      <c r="Q47" s="73"/>
      <c r="R47" s="73"/>
      <c r="S47" s="73"/>
      <c r="T47" s="73"/>
      <c r="U47" s="74"/>
    </row>
    <row r="48" spans="2:21" s="15" customFormat="1" x14ac:dyDescent="0.25">
      <c r="B48" s="72" t="s">
        <v>3491</v>
      </c>
      <c r="C48" s="73"/>
      <c r="D48" s="73"/>
      <c r="E48" s="73"/>
      <c r="F48" s="73"/>
      <c r="G48" s="73"/>
      <c r="H48" s="73"/>
      <c r="I48" s="73"/>
      <c r="J48" s="73"/>
      <c r="K48" s="73"/>
      <c r="L48" s="73"/>
      <c r="M48" s="73"/>
      <c r="N48" s="73"/>
      <c r="O48" s="73"/>
      <c r="P48" s="73"/>
      <c r="Q48" s="73"/>
      <c r="R48" s="73"/>
      <c r="S48" s="73"/>
      <c r="T48" s="73"/>
      <c r="U48" s="74"/>
    </row>
    <row r="49" spans="2:21" s="15" customFormat="1" x14ac:dyDescent="0.25">
      <c r="B49" s="72" t="s">
        <v>3492</v>
      </c>
      <c r="C49" s="73"/>
      <c r="D49" s="73"/>
      <c r="E49" s="73"/>
      <c r="F49" s="73"/>
      <c r="G49" s="73"/>
      <c r="H49" s="73"/>
      <c r="I49" s="73"/>
      <c r="J49" s="73"/>
      <c r="K49" s="73"/>
      <c r="L49" s="73"/>
      <c r="M49" s="73"/>
      <c r="N49" s="73"/>
      <c r="O49" s="73"/>
      <c r="P49" s="73"/>
      <c r="Q49" s="73"/>
      <c r="R49" s="73"/>
      <c r="S49" s="73"/>
      <c r="T49" s="73"/>
      <c r="U49" s="74"/>
    </row>
    <row r="50" spans="2:21" s="15" customFormat="1" x14ac:dyDescent="0.25">
      <c r="B50" s="72" t="s">
        <v>3083</v>
      </c>
      <c r="C50" s="73"/>
      <c r="D50" s="73"/>
      <c r="E50" s="73"/>
      <c r="F50" s="73"/>
      <c r="G50" s="73"/>
      <c r="H50" s="73"/>
      <c r="I50" s="73"/>
      <c r="J50" s="73"/>
      <c r="K50" s="73"/>
      <c r="L50" s="73"/>
      <c r="M50" s="73"/>
      <c r="N50" s="73"/>
      <c r="O50" s="73"/>
      <c r="P50" s="73"/>
      <c r="Q50" s="73"/>
      <c r="R50" s="73"/>
      <c r="S50" s="73"/>
      <c r="T50" s="73"/>
      <c r="U50" s="74"/>
    </row>
    <row r="51" spans="2:21" s="15" customFormat="1" x14ac:dyDescent="0.25">
      <c r="B51" s="72" t="s">
        <v>3093</v>
      </c>
      <c r="C51" s="73"/>
      <c r="D51" s="73"/>
      <c r="E51" s="73"/>
      <c r="F51" s="73"/>
      <c r="G51" s="73"/>
      <c r="H51" s="73"/>
      <c r="I51" s="73"/>
      <c r="J51" s="73"/>
      <c r="K51" s="73"/>
      <c r="L51" s="73"/>
      <c r="M51" s="73"/>
      <c r="N51" s="73"/>
      <c r="O51" s="73"/>
      <c r="P51" s="73"/>
      <c r="Q51" s="73"/>
      <c r="R51" s="73"/>
      <c r="S51" s="73"/>
      <c r="T51" s="73"/>
      <c r="U51" s="74"/>
    </row>
    <row r="52" spans="2:21" s="15" customFormat="1" x14ac:dyDescent="0.25">
      <c r="B52" s="72" t="s">
        <v>3084</v>
      </c>
      <c r="C52" s="73"/>
      <c r="D52" s="73"/>
      <c r="E52" s="73"/>
      <c r="F52" s="73"/>
      <c r="G52" s="73"/>
      <c r="H52" s="73"/>
      <c r="I52" s="73"/>
      <c r="J52" s="73"/>
      <c r="K52" s="73"/>
      <c r="L52" s="73"/>
      <c r="M52" s="73"/>
      <c r="N52" s="73"/>
      <c r="O52" s="73"/>
      <c r="P52" s="73"/>
      <c r="Q52" s="73"/>
      <c r="R52" s="73"/>
      <c r="S52" s="73"/>
      <c r="T52" s="73"/>
      <c r="U52" s="74"/>
    </row>
    <row r="53" spans="2:21" s="15" customFormat="1" x14ac:dyDescent="0.25">
      <c r="B53" s="72" t="s">
        <v>3085</v>
      </c>
      <c r="C53" s="73"/>
      <c r="D53" s="73"/>
      <c r="E53" s="73"/>
      <c r="F53" s="73"/>
      <c r="G53" s="73"/>
      <c r="H53" s="73"/>
      <c r="I53" s="73"/>
      <c r="J53" s="73"/>
      <c r="K53" s="73"/>
      <c r="L53" s="73"/>
      <c r="M53" s="73"/>
      <c r="N53" s="73"/>
      <c r="O53" s="73"/>
      <c r="P53" s="73"/>
      <c r="Q53" s="73"/>
      <c r="R53" s="73"/>
      <c r="S53" s="73"/>
      <c r="T53" s="73"/>
      <c r="U53" s="74"/>
    </row>
    <row r="54" spans="2:21" s="15" customFormat="1" x14ac:dyDescent="0.25">
      <c r="B54" s="72" t="s">
        <v>3334</v>
      </c>
      <c r="C54" s="73"/>
      <c r="D54" s="73"/>
      <c r="E54" s="73"/>
      <c r="F54" s="73"/>
      <c r="G54" s="73"/>
      <c r="H54" s="73"/>
      <c r="I54" s="73"/>
      <c r="J54" s="73"/>
      <c r="K54" s="73"/>
      <c r="L54" s="73"/>
      <c r="M54" s="73"/>
      <c r="N54" s="73"/>
      <c r="O54" s="73"/>
      <c r="P54" s="73"/>
      <c r="Q54" s="73"/>
      <c r="R54" s="73"/>
      <c r="S54" s="73"/>
      <c r="T54" s="73"/>
      <c r="U54" s="74"/>
    </row>
    <row r="55" spans="2:21" s="15" customFormat="1" x14ac:dyDescent="0.25">
      <c r="B55" s="72" t="s">
        <v>3493</v>
      </c>
      <c r="C55" s="73"/>
      <c r="D55" s="73"/>
      <c r="E55" s="73"/>
      <c r="F55" s="73"/>
      <c r="G55" s="73"/>
      <c r="H55" s="73"/>
      <c r="I55" s="73"/>
      <c r="J55" s="73"/>
      <c r="K55" s="73"/>
      <c r="L55" s="73"/>
      <c r="M55" s="73"/>
      <c r="N55" s="73"/>
      <c r="O55" s="73"/>
      <c r="P55" s="73"/>
      <c r="Q55" s="73"/>
      <c r="R55" s="73"/>
      <c r="S55" s="73"/>
      <c r="T55" s="73"/>
      <c r="U55" s="74"/>
    </row>
    <row r="56" spans="2:21" s="15" customFormat="1" x14ac:dyDescent="0.25">
      <c r="B56" s="72" t="s">
        <v>3083</v>
      </c>
      <c r="C56" s="73"/>
      <c r="D56" s="73"/>
      <c r="E56" s="73"/>
      <c r="F56" s="73"/>
      <c r="G56" s="73"/>
      <c r="H56" s="73"/>
      <c r="I56" s="73"/>
      <c r="J56" s="73"/>
      <c r="K56" s="73"/>
      <c r="L56" s="73"/>
      <c r="M56" s="73"/>
      <c r="N56" s="73"/>
      <c r="O56" s="73"/>
      <c r="P56" s="73"/>
      <c r="Q56" s="73"/>
      <c r="R56" s="73"/>
      <c r="S56" s="73"/>
      <c r="T56" s="73"/>
      <c r="U56" s="74"/>
    </row>
    <row r="57" spans="2:21" s="15" customFormat="1" x14ac:dyDescent="0.25">
      <c r="B57" s="72" t="s">
        <v>3093</v>
      </c>
      <c r="C57" s="73"/>
      <c r="D57" s="73"/>
      <c r="E57" s="73"/>
      <c r="F57" s="73"/>
      <c r="G57" s="73"/>
      <c r="H57" s="73"/>
      <c r="I57" s="73"/>
      <c r="J57" s="73"/>
      <c r="K57" s="73"/>
      <c r="L57" s="73"/>
      <c r="M57" s="73"/>
      <c r="N57" s="73"/>
      <c r="O57" s="73"/>
      <c r="P57" s="73"/>
      <c r="Q57" s="73"/>
      <c r="R57" s="73"/>
      <c r="S57" s="73"/>
      <c r="T57" s="73"/>
      <c r="U57" s="74"/>
    </row>
    <row r="58" spans="2:21" s="15" customFormat="1" x14ac:dyDescent="0.25">
      <c r="B58" s="72" t="s">
        <v>3094</v>
      </c>
      <c r="C58" s="73"/>
      <c r="D58" s="73"/>
      <c r="E58" s="73"/>
      <c r="F58" s="73"/>
      <c r="G58" s="73"/>
      <c r="H58" s="73"/>
      <c r="I58" s="73"/>
      <c r="J58" s="73"/>
      <c r="K58" s="73"/>
      <c r="L58" s="73"/>
      <c r="M58" s="73"/>
      <c r="N58" s="73"/>
      <c r="O58" s="73"/>
      <c r="P58" s="73"/>
      <c r="Q58" s="73"/>
      <c r="R58" s="73"/>
      <c r="S58" s="73"/>
      <c r="T58" s="73"/>
      <c r="U58" s="74"/>
    </row>
    <row r="59" spans="2:21" s="15" customFormat="1" x14ac:dyDescent="0.25">
      <c r="B59" s="72" t="s">
        <v>3095</v>
      </c>
      <c r="C59" s="73"/>
      <c r="D59" s="73"/>
      <c r="E59" s="73"/>
      <c r="F59" s="73"/>
      <c r="G59" s="73"/>
      <c r="H59" s="73"/>
      <c r="I59" s="73"/>
      <c r="J59" s="73"/>
      <c r="K59" s="73"/>
      <c r="L59" s="73"/>
      <c r="M59" s="73"/>
      <c r="N59" s="73"/>
      <c r="O59" s="73"/>
      <c r="P59" s="73"/>
      <c r="Q59" s="73"/>
      <c r="R59" s="73"/>
      <c r="S59" s="73"/>
      <c r="T59" s="73"/>
      <c r="U59" s="74"/>
    </row>
    <row r="60" spans="2:21" s="15" customFormat="1" x14ac:dyDescent="0.25">
      <c r="B60" s="72" t="s">
        <v>3096</v>
      </c>
      <c r="C60" s="73"/>
      <c r="D60" s="73"/>
      <c r="E60" s="73"/>
      <c r="F60" s="73"/>
      <c r="G60" s="73"/>
      <c r="H60" s="73"/>
      <c r="I60" s="73"/>
      <c r="J60" s="73"/>
      <c r="K60" s="73"/>
      <c r="L60" s="73"/>
      <c r="M60" s="73"/>
      <c r="N60" s="73"/>
      <c r="O60" s="73"/>
      <c r="P60" s="73"/>
      <c r="Q60" s="73"/>
      <c r="R60" s="73"/>
      <c r="S60" s="73"/>
      <c r="T60" s="73"/>
      <c r="U60" s="74"/>
    </row>
    <row r="61" spans="2:21" s="15" customFormat="1" x14ac:dyDescent="0.25">
      <c r="B61" s="72" t="s">
        <v>3097</v>
      </c>
      <c r="C61" s="73"/>
      <c r="D61" s="73"/>
      <c r="E61" s="73"/>
      <c r="F61" s="73"/>
      <c r="G61" s="73"/>
      <c r="H61" s="73"/>
      <c r="I61" s="73"/>
      <c r="J61" s="73"/>
      <c r="K61" s="73"/>
      <c r="L61" s="73"/>
      <c r="M61" s="73"/>
      <c r="N61" s="73"/>
      <c r="O61" s="73"/>
      <c r="P61" s="73"/>
      <c r="Q61" s="73"/>
      <c r="R61" s="73"/>
      <c r="S61" s="73"/>
      <c r="T61" s="73"/>
      <c r="U61" s="74"/>
    </row>
    <row r="62" spans="2:21" s="15" customFormat="1" x14ac:dyDescent="0.25">
      <c r="B62" s="72" t="s">
        <v>3098</v>
      </c>
      <c r="C62" s="73"/>
      <c r="D62" s="73"/>
      <c r="E62" s="73"/>
      <c r="F62" s="73"/>
      <c r="G62" s="73"/>
      <c r="H62" s="73"/>
      <c r="I62" s="73"/>
      <c r="J62" s="73"/>
      <c r="K62" s="73"/>
      <c r="L62" s="73"/>
      <c r="M62" s="73"/>
      <c r="N62" s="73"/>
      <c r="O62" s="73"/>
      <c r="P62" s="73"/>
      <c r="Q62" s="73"/>
      <c r="R62" s="73"/>
      <c r="S62" s="73"/>
      <c r="T62" s="73"/>
      <c r="U62" s="74"/>
    </row>
    <row r="63" spans="2:21" s="15" customFormat="1" x14ac:dyDescent="0.25">
      <c r="B63" s="72" t="s">
        <v>3099</v>
      </c>
      <c r="C63" s="73"/>
      <c r="D63" s="73"/>
      <c r="E63" s="73"/>
      <c r="F63" s="73"/>
      <c r="G63" s="73"/>
      <c r="H63" s="73"/>
      <c r="I63" s="73"/>
      <c r="J63" s="73"/>
      <c r="K63" s="73"/>
      <c r="L63" s="73"/>
      <c r="M63" s="73"/>
      <c r="N63" s="73"/>
      <c r="O63" s="73"/>
      <c r="P63" s="73"/>
      <c r="Q63" s="73"/>
      <c r="R63" s="73"/>
      <c r="S63" s="73"/>
      <c r="T63" s="73"/>
      <c r="U63" s="74"/>
    </row>
    <row r="64" spans="2:21" s="15" customFormat="1" x14ac:dyDescent="0.25">
      <c r="B64" s="72" t="s">
        <v>3100</v>
      </c>
      <c r="C64" s="73"/>
      <c r="D64" s="73"/>
      <c r="E64" s="73"/>
      <c r="F64" s="73"/>
      <c r="G64" s="73"/>
      <c r="H64" s="73"/>
      <c r="I64" s="73"/>
      <c r="J64" s="73"/>
      <c r="K64" s="73"/>
      <c r="L64" s="73"/>
      <c r="M64" s="73"/>
      <c r="N64" s="73"/>
      <c r="O64" s="73"/>
      <c r="P64" s="73"/>
      <c r="Q64" s="73"/>
      <c r="R64" s="73"/>
      <c r="S64" s="73"/>
      <c r="T64" s="73"/>
      <c r="U64" s="74"/>
    </row>
    <row r="65" spans="2:21" s="15" customFormat="1" x14ac:dyDescent="0.25">
      <c r="B65" s="72" t="s">
        <v>3494</v>
      </c>
      <c r="C65" s="73"/>
      <c r="D65" s="73"/>
      <c r="E65" s="73"/>
      <c r="F65" s="73"/>
      <c r="G65" s="73"/>
      <c r="H65" s="73"/>
      <c r="I65" s="73"/>
      <c r="J65" s="73"/>
      <c r="K65" s="73"/>
      <c r="L65" s="73"/>
      <c r="M65" s="73"/>
      <c r="N65" s="73"/>
      <c r="O65" s="73"/>
      <c r="P65" s="73"/>
      <c r="Q65" s="73"/>
      <c r="R65" s="73"/>
      <c r="S65" s="73"/>
      <c r="T65" s="73"/>
      <c r="U65" s="74"/>
    </row>
    <row r="66" spans="2:21" s="15" customFormat="1" x14ac:dyDescent="0.25">
      <c r="B66" s="72" t="s">
        <v>3495</v>
      </c>
      <c r="C66" s="73"/>
      <c r="D66" s="73"/>
      <c r="E66" s="73"/>
      <c r="F66" s="73"/>
      <c r="G66" s="73"/>
      <c r="H66" s="73"/>
      <c r="I66" s="73"/>
      <c r="J66" s="73"/>
      <c r="K66" s="73"/>
      <c r="L66" s="73"/>
      <c r="M66" s="73"/>
      <c r="N66" s="73"/>
      <c r="O66" s="73"/>
      <c r="P66" s="73"/>
      <c r="Q66" s="73"/>
      <c r="R66" s="73"/>
      <c r="S66" s="73"/>
      <c r="T66" s="73"/>
      <c r="U66" s="74"/>
    </row>
    <row r="67" spans="2:21" s="15" customFormat="1" x14ac:dyDescent="0.25">
      <c r="B67" s="72" t="s">
        <v>3342</v>
      </c>
      <c r="C67" s="73"/>
      <c r="D67" s="73"/>
      <c r="E67" s="73"/>
      <c r="F67" s="73"/>
      <c r="G67" s="73"/>
      <c r="H67" s="73"/>
      <c r="I67" s="73"/>
      <c r="J67" s="73"/>
      <c r="K67" s="73"/>
      <c r="L67" s="73"/>
      <c r="M67" s="73"/>
      <c r="N67" s="73"/>
      <c r="O67" s="73"/>
      <c r="P67" s="73"/>
      <c r="Q67" s="73"/>
      <c r="R67" s="73"/>
      <c r="S67" s="73"/>
      <c r="T67" s="73"/>
      <c r="U67" s="74"/>
    </row>
    <row r="68" spans="2:21" s="15" customFormat="1" x14ac:dyDescent="0.25">
      <c r="B68" s="72" t="s">
        <v>3496</v>
      </c>
      <c r="C68" s="73"/>
      <c r="D68" s="73"/>
      <c r="E68" s="73"/>
      <c r="F68" s="73"/>
      <c r="G68" s="73"/>
      <c r="H68" s="73"/>
      <c r="I68" s="73"/>
      <c r="J68" s="73"/>
      <c r="K68" s="73"/>
      <c r="L68" s="73"/>
      <c r="M68" s="73"/>
      <c r="N68" s="73"/>
      <c r="O68" s="73"/>
      <c r="P68" s="73"/>
      <c r="Q68" s="73"/>
      <c r="R68" s="73"/>
      <c r="S68" s="73"/>
      <c r="T68" s="73"/>
      <c r="U68" s="74"/>
    </row>
    <row r="69" spans="2:21" s="15" customFormat="1" x14ac:dyDescent="0.25">
      <c r="B69" s="72" t="s">
        <v>3105</v>
      </c>
      <c r="C69" s="73"/>
      <c r="D69" s="73"/>
      <c r="E69" s="73"/>
      <c r="F69" s="73"/>
      <c r="G69" s="73"/>
      <c r="H69" s="73"/>
      <c r="I69" s="73"/>
      <c r="J69" s="73"/>
      <c r="K69" s="73"/>
      <c r="L69" s="73"/>
      <c r="M69" s="73"/>
      <c r="N69" s="73"/>
      <c r="O69" s="73"/>
      <c r="P69" s="73"/>
      <c r="Q69" s="73"/>
      <c r="R69" s="73"/>
      <c r="S69" s="73"/>
      <c r="T69" s="73"/>
      <c r="U69" s="74"/>
    </row>
    <row r="70" spans="2:21" s="15" customFormat="1" x14ac:dyDescent="0.25">
      <c r="B70" s="72" t="s">
        <v>3106</v>
      </c>
      <c r="C70" s="73"/>
      <c r="D70" s="73"/>
      <c r="E70" s="73"/>
      <c r="F70" s="73"/>
      <c r="G70" s="73"/>
      <c r="H70" s="73"/>
      <c r="I70" s="73"/>
      <c r="J70" s="73"/>
      <c r="K70" s="73"/>
      <c r="L70" s="73"/>
      <c r="M70" s="73"/>
      <c r="N70" s="73"/>
      <c r="O70" s="73"/>
      <c r="P70" s="73"/>
      <c r="Q70" s="73"/>
      <c r="R70" s="73"/>
      <c r="S70" s="73"/>
      <c r="T70" s="73"/>
      <c r="U70" s="74"/>
    </row>
    <row r="71" spans="2:21" s="15" customFormat="1" x14ac:dyDescent="0.25">
      <c r="B71" s="72" t="s">
        <v>3497</v>
      </c>
      <c r="C71" s="73"/>
      <c r="D71" s="73"/>
      <c r="E71" s="73"/>
      <c r="F71" s="73"/>
      <c r="G71" s="73"/>
      <c r="H71" s="73"/>
      <c r="I71" s="73"/>
      <c r="J71" s="73"/>
      <c r="K71" s="73"/>
      <c r="L71" s="73"/>
      <c r="M71" s="73"/>
      <c r="N71" s="73"/>
      <c r="O71" s="73"/>
      <c r="P71" s="73"/>
      <c r="Q71" s="73"/>
      <c r="R71" s="73"/>
      <c r="S71" s="73"/>
      <c r="T71" s="73"/>
      <c r="U71" s="74"/>
    </row>
    <row r="72" spans="2:21" s="15" customFormat="1" x14ac:dyDescent="0.25">
      <c r="B72" s="72" t="s">
        <v>3498</v>
      </c>
      <c r="C72" s="73"/>
      <c r="D72" s="73"/>
      <c r="E72" s="73"/>
      <c r="F72" s="73"/>
      <c r="G72" s="73"/>
      <c r="H72" s="73"/>
      <c r="I72" s="73"/>
      <c r="J72" s="73"/>
      <c r="K72" s="73"/>
      <c r="L72" s="73"/>
      <c r="M72" s="73"/>
      <c r="N72" s="73"/>
      <c r="O72" s="73"/>
      <c r="P72" s="73"/>
      <c r="Q72" s="73"/>
      <c r="R72" s="73"/>
      <c r="S72" s="73"/>
      <c r="T72" s="73"/>
      <c r="U72" s="74"/>
    </row>
    <row r="73" spans="2:21" s="15" customFormat="1" x14ac:dyDescent="0.25">
      <c r="B73" s="72" t="s">
        <v>3499</v>
      </c>
      <c r="C73" s="73"/>
      <c r="D73" s="73"/>
      <c r="E73" s="73"/>
      <c r="F73" s="73"/>
      <c r="G73" s="73"/>
      <c r="H73" s="73"/>
      <c r="I73" s="73"/>
      <c r="J73" s="73"/>
      <c r="K73" s="73"/>
      <c r="L73" s="73"/>
      <c r="M73" s="73"/>
      <c r="N73" s="73"/>
      <c r="O73" s="73"/>
      <c r="P73" s="73"/>
      <c r="Q73" s="73"/>
      <c r="R73" s="73"/>
      <c r="S73" s="73"/>
      <c r="T73" s="73"/>
      <c r="U73" s="74"/>
    </row>
    <row r="74" spans="2:21" s="15" customFormat="1" x14ac:dyDescent="0.25">
      <c r="B74" s="72" t="s">
        <v>3500</v>
      </c>
      <c r="C74" s="73"/>
      <c r="D74" s="73"/>
      <c r="E74" s="73"/>
      <c r="F74" s="73"/>
      <c r="G74" s="73"/>
      <c r="H74" s="73"/>
      <c r="I74" s="73"/>
      <c r="J74" s="73"/>
      <c r="K74" s="73"/>
      <c r="L74" s="73"/>
      <c r="M74" s="73"/>
      <c r="N74" s="73"/>
      <c r="O74" s="73"/>
      <c r="P74" s="73"/>
      <c r="Q74" s="73"/>
      <c r="R74" s="73"/>
      <c r="S74" s="73"/>
      <c r="T74" s="73"/>
      <c r="U74" s="74"/>
    </row>
    <row r="75" spans="2:21" s="15" customFormat="1" x14ac:dyDescent="0.25">
      <c r="B75" s="72" t="s">
        <v>3501</v>
      </c>
      <c r="C75" s="73"/>
      <c r="D75" s="73"/>
      <c r="E75" s="73"/>
      <c r="F75" s="73"/>
      <c r="G75" s="73"/>
      <c r="H75" s="73"/>
      <c r="I75" s="73"/>
      <c r="J75" s="73"/>
      <c r="K75" s="73"/>
      <c r="L75" s="73"/>
      <c r="M75" s="73"/>
      <c r="N75" s="73"/>
      <c r="O75" s="73"/>
      <c r="P75" s="73"/>
      <c r="Q75" s="73"/>
      <c r="R75" s="73"/>
      <c r="S75" s="73"/>
      <c r="T75" s="73"/>
      <c r="U75" s="74"/>
    </row>
    <row r="76" spans="2:21" s="15" customFormat="1" x14ac:dyDescent="0.25">
      <c r="B76" s="72" t="s">
        <v>3502</v>
      </c>
      <c r="C76" s="73"/>
      <c r="D76" s="73"/>
      <c r="E76" s="73"/>
      <c r="F76" s="73"/>
      <c r="G76" s="73"/>
      <c r="H76" s="73"/>
      <c r="I76" s="73"/>
      <c r="J76" s="73"/>
      <c r="K76" s="73"/>
      <c r="L76" s="73"/>
      <c r="M76" s="73"/>
      <c r="N76" s="73"/>
      <c r="O76" s="73"/>
      <c r="P76" s="73"/>
      <c r="Q76" s="73"/>
      <c r="R76" s="73"/>
      <c r="S76" s="73"/>
      <c r="T76" s="73"/>
      <c r="U76" s="74"/>
    </row>
    <row r="77" spans="2:21" s="15" customFormat="1" x14ac:dyDescent="0.25">
      <c r="B77" s="72" t="s">
        <v>3503</v>
      </c>
      <c r="C77" s="73"/>
      <c r="D77" s="73"/>
      <c r="E77" s="73"/>
      <c r="F77" s="73"/>
      <c r="G77" s="73"/>
      <c r="H77" s="73"/>
      <c r="I77" s="73"/>
      <c r="J77" s="73"/>
      <c r="K77" s="73"/>
      <c r="L77" s="73"/>
      <c r="M77" s="73"/>
      <c r="N77" s="73"/>
      <c r="O77" s="73"/>
      <c r="P77" s="73"/>
      <c r="Q77" s="73"/>
      <c r="R77" s="73"/>
      <c r="S77" s="73"/>
      <c r="T77" s="73"/>
      <c r="U77" s="74"/>
    </row>
    <row r="78" spans="2:21" s="15" customFormat="1" x14ac:dyDescent="0.25">
      <c r="B78" s="72" t="s">
        <v>3504</v>
      </c>
      <c r="C78" s="73"/>
      <c r="D78" s="73"/>
      <c r="E78" s="73"/>
      <c r="F78" s="73"/>
      <c r="G78" s="73"/>
      <c r="H78" s="73"/>
      <c r="I78" s="73"/>
      <c r="J78" s="73"/>
      <c r="K78" s="73"/>
      <c r="L78" s="73"/>
      <c r="M78" s="73"/>
      <c r="N78" s="73"/>
      <c r="O78" s="73"/>
      <c r="P78" s="73"/>
      <c r="Q78" s="73"/>
      <c r="R78" s="73"/>
      <c r="S78" s="73"/>
      <c r="T78" s="73"/>
      <c r="U78" s="74"/>
    </row>
    <row r="79" spans="2:21" s="15" customFormat="1" x14ac:dyDescent="0.25">
      <c r="B79" s="72" t="s">
        <v>3505</v>
      </c>
      <c r="C79" s="73"/>
      <c r="D79" s="73"/>
      <c r="E79" s="73"/>
      <c r="F79" s="73"/>
      <c r="G79" s="73"/>
      <c r="H79" s="73"/>
      <c r="I79" s="73"/>
      <c r="J79" s="73"/>
      <c r="K79" s="73"/>
      <c r="L79" s="73"/>
      <c r="M79" s="73"/>
      <c r="N79" s="73"/>
      <c r="O79" s="73"/>
      <c r="P79" s="73"/>
      <c r="Q79" s="73"/>
      <c r="R79" s="73"/>
      <c r="S79" s="73"/>
      <c r="T79" s="73"/>
      <c r="U79" s="74"/>
    </row>
    <row r="80" spans="2:21" s="15" customFormat="1" x14ac:dyDescent="0.25">
      <c r="B80" s="72" t="s">
        <v>3460</v>
      </c>
      <c r="C80" s="73"/>
      <c r="D80" s="73"/>
      <c r="E80" s="73"/>
      <c r="F80" s="73"/>
      <c r="G80" s="73"/>
      <c r="H80" s="73"/>
      <c r="I80" s="73"/>
      <c r="J80" s="73"/>
      <c r="K80" s="73"/>
      <c r="L80" s="73"/>
      <c r="M80" s="73"/>
      <c r="N80" s="73"/>
      <c r="O80" s="73"/>
      <c r="P80" s="73"/>
      <c r="Q80" s="73"/>
      <c r="R80" s="73"/>
      <c r="S80" s="73"/>
      <c r="T80" s="73"/>
      <c r="U80" s="74"/>
    </row>
    <row r="81" spans="2:21" s="15" customFormat="1" x14ac:dyDescent="0.25">
      <c r="B81" s="72" t="s">
        <v>3506</v>
      </c>
      <c r="C81" s="73"/>
      <c r="D81" s="73"/>
      <c r="E81" s="73"/>
      <c r="F81" s="73"/>
      <c r="G81" s="73"/>
      <c r="H81" s="73"/>
      <c r="I81" s="73"/>
      <c r="J81" s="73"/>
      <c r="K81" s="73"/>
      <c r="L81" s="73"/>
      <c r="M81" s="73"/>
      <c r="N81" s="73"/>
      <c r="O81" s="73"/>
      <c r="P81" s="73"/>
      <c r="Q81" s="73"/>
      <c r="R81" s="73"/>
      <c r="S81" s="73"/>
      <c r="T81" s="73"/>
      <c r="U81" s="74"/>
    </row>
    <row r="82" spans="2:21" s="15" customFormat="1" x14ac:dyDescent="0.25">
      <c r="B82" s="72" t="s">
        <v>3353</v>
      </c>
      <c r="C82" s="73"/>
      <c r="D82" s="73"/>
      <c r="E82" s="73"/>
      <c r="F82" s="73"/>
      <c r="G82" s="73"/>
      <c r="H82" s="73"/>
      <c r="I82" s="73"/>
      <c r="J82" s="73"/>
      <c r="K82" s="73"/>
      <c r="L82" s="73"/>
      <c r="M82" s="73"/>
      <c r="N82" s="73"/>
      <c r="O82" s="73"/>
      <c r="P82" s="73"/>
      <c r="Q82" s="73"/>
      <c r="R82" s="73"/>
      <c r="S82" s="73"/>
      <c r="T82" s="73"/>
      <c r="U82" s="74"/>
    </row>
    <row r="83" spans="2:21" s="15" customFormat="1" x14ac:dyDescent="0.25">
      <c r="B83" s="72" t="s">
        <v>3058</v>
      </c>
      <c r="C83" s="73"/>
      <c r="D83" s="73"/>
      <c r="E83" s="73"/>
      <c r="F83" s="73"/>
      <c r="G83" s="73"/>
      <c r="H83" s="73"/>
      <c r="I83" s="73"/>
      <c r="J83" s="73"/>
      <c r="K83" s="73"/>
      <c r="L83" s="73"/>
      <c r="M83" s="73"/>
      <c r="N83" s="73"/>
      <c r="O83" s="73"/>
      <c r="P83" s="73"/>
      <c r="Q83" s="73"/>
      <c r="R83" s="73"/>
      <c r="S83" s="73"/>
      <c r="T83" s="73"/>
      <c r="U83" s="74"/>
    </row>
    <row r="84" spans="2:21" s="15" customFormat="1" x14ac:dyDescent="0.25">
      <c r="B84" s="72" t="s">
        <v>3507</v>
      </c>
      <c r="C84" s="73"/>
      <c r="D84" s="73"/>
      <c r="E84" s="73"/>
      <c r="F84" s="73"/>
      <c r="G84" s="73"/>
      <c r="H84" s="73"/>
      <c r="I84" s="73"/>
      <c r="J84" s="73"/>
      <c r="K84" s="73"/>
      <c r="L84" s="73"/>
      <c r="M84" s="73"/>
      <c r="N84" s="73"/>
      <c r="O84" s="73"/>
      <c r="P84" s="73"/>
      <c r="Q84" s="73"/>
      <c r="R84" s="73"/>
      <c r="S84" s="73"/>
      <c r="T84" s="73"/>
      <c r="U84" s="74"/>
    </row>
    <row r="85" spans="2:21" s="15" customFormat="1" x14ac:dyDescent="0.25">
      <c r="B85" s="72" t="s">
        <v>3508</v>
      </c>
      <c r="C85" s="73"/>
      <c r="D85" s="73"/>
      <c r="E85" s="73"/>
      <c r="F85" s="73"/>
      <c r="G85" s="73"/>
      <c r="H85" s="73"/>
      <c r="I85" s="73"/>
      <c r="J85" s="73"/>
      <c r="K85" s="73"/>
      <c r="L85" s="73"/>
      <c r="M85" s="73"/>
      <c r="N85" s="73"/>
      <c r="O85" s="73"/>
      <c r="P85" s="73"/>
      <c r="Q85" s="73"/>
      <c r="R85" s="73"/>
      <c r="S85" s="73"/>
      <c r="T85" s="73"/>
      <c r="U85" s="74"/>
    </row>
    <row r="86" spans="2:21" s="15" customFormat="1" x14ac:dyDescent="0.25">
      <c r="B86" s="72" t="s">
        <v>3509</v>
      </c>
      <c r="C86" s="73"/>
      <c r="D86" s="73"/>
      <c r="E86" s="73"/>
      <c r="F86" s="73"/>
      <c r="G86" s="73"/>
      <c r="H86" s="73"/>
      <c r="I86" s="73"/>
      <c r="J86" s="73"/>
      <c r="K86" s="73"/>
      <c r="L86" s="73"/>
      <c r="M86" s="73"/>
      <c r="N86" s="73"/>
      <c r="O86" s="73"/>
      <c r="P86" s="73"/>
      <c r="Q86" s="73"/>
      <c r="R86" s="73"/>
      <c r="S86" s="73"/>
      <c r="T86" s="73"/>
      <c r="U86" s="74"/>
    </row>
    <row r="87" spans="2:21" s="15" customFormat="1" x14ac:dyDescent="0.25">
      <c r="B87" s="72" t="s">
        <v>3510</v>
      </c>
      <c r="C87" s="73"/>
      <c r="D87" s="73"/>
      <c r="E87" s="73"/>
      <c r="F87" s="73"/>
      <c r="G87" s="73"/>
      <c r="H87" s="73"/>
      <c r="I87" s="73"/>
      <c r="J87" s="73"/>
      <c r="K87" s="73"/>
      <c r="L87" s="73"/>
      <c r="M87" s="73"/>
      <c r="N87" s="73"/>
      <c r="O87" s="73"/>
      <c r="P87" s="73"/>
      <c r="Q87" s="73"/>
      <c r="R87" s="73"/>
      <c r="S87" s="73"/>
      <c r="T87" s="73"/>
      <c r="U87" s="74"/>
    </row>
    <row r="88" spans="2:21" s="15" customFormat="1" x14ac:dyDescent="0.25">
      <c r="B88" s="72" t="s">
        <v>3511</v>
      </c>
      <c r="C88" s="73"/>
      <c r="D88" s="73"/>
      <c r="E88" s="73"/>
      <c r="F88" s="73"/>
      <c r="G88" s="73"/>
      <c r="H88" s="73"/>
      <c r="I88" s="73"/>
      <c r="J88" s="73"/>
      <c r="K88" s="73"/>
      <c r="L88" s="73"/>
      <c r="M88" s="73"/>
      <c r="N88" s="73"/>
      <c r="O88" s="73"/>
      <c r="P88" s="73"/>
      <c r="Q88" s="73"/>
      <c r="R88" s="73"/>
      <c r="S88" s="73"/>
      <c r="T88" s="73"/>
      <c r="U88" s="74"/>
    </row>
    <row r="89" spans="2:21" s="15" customFormat="1" x14ac:dyDescent="0.25">
      <c r="B89" s="72" t="s">
        <v>3512</v>
      </c>
      <c r="C89" s="73"/>
      <c r="D89" s="73"/>
      <c r="E89" s="73"/>
      <c r="F89" s="73"/>
      <c r="G89" s="73"/>
      <c r="H89" s="73"/>
      <c r="I89" s="73"/>
      <c r="J89" s="73"/>
      <c r="K89" s="73"/>
      <c r="L89" s="73"/>
      <c r="M89" s="73"/>
      <c r="N89" s="73"/>
      <c r="O89" s="73"/>
      <c r="P89" s="73"/>
      <c r="Q89" s="73"/>
      <c r="R89" s="73"/>
      <c r="S89" s="73"/>
      <c r="T89" s="73"/>
      <c r="U89" s="74"/>
    </row>
    <row r="90" spans="2:21" s="15" customFormat="1" x14ac:dyDescent="0.25">
      <c r="B90" s="72" t="s">
        <v>3513</v>
      </c>
      <c r="C90" s="73"/>
      <c r="D90" s="73"/>
      <c r="E90" s="73"/>
      <c r="F90" s="73"/>
      <c r="G90" s="73"/>
      <c r="H90" s="73"/>
      <c r="I90" s="73"/>
      <c r="J90" s="73"/>
      <c r="K90" s="73"/>
      <c r="L90" s="73"/>
      <c r="M90" s="73"/>
      <c r="N90" s="73"/>
      <c r="O90" s="73"/>
      <c r="P90" s="73"/>
      <c r="Q90" s="73"/>
      <c r="R90" s="73"/>
      <c r="S90" s="73"/>
      <c r="T90" s="73"/>
      <c r="U90" s="74"/>
    </row>
    <row r="91" spans="2:21" s="15" customFormat="1" x14ac:dyDescent="0.25">
      <c r="B91" s="72" t="s">
        <v>3514</v>
      </c>
      <c r="C91" s="73"/>
      <c r="D91" s="73"/>
      <c r="E91" s="73"/>
      <c r="F91" s="73"/>
      <c r="G91" s="73"/>
      <c r="H91" s="73"/>
      <c r="I91" s="73"/>
      <c r="J91" s="73"/>
      <c r="K91" s="73"/>
      <c r="L91" s="73"/>
      <c r="M91" s="73"/>
      <c r="N91" s="73"/>
      <c r="O91" s="73"/>
      <c r="P91" s="73"/>
      <c r="Q91" s="73"/>
      <c r="R91" s="73"/>
      <c r="S91" s="73"/>
      <c r="T91" s="73"/>
      <c r="U91" s="74"/>
    </row>
    <row r="92" spans="2:21" s="15" customFormat="1" x14ac:dyDescent="0.25">
      <c r="B92" s="72" t="s">
        <v>3515</v>
      </c>
      <c r="C92" s="73"/>
      <c r="D92" s="73"/>
      <c r="E92" s="73"/>
      <c r="F92" s="73"/>
      <c r="G92" s="73"/>
      <c r="H92" s="73"/>
      <c r="I92" s="73"/>
      <c r="J92" s="73"/>
      <c r="K92" s="73"/>
      <c r="L92" s="73"/>
      <c r="M92" s="73"/>
      <c r="N92" s="73"/>
      <c r="O92" s="73"/>
      <c r="P92" s="73"/>
      <c r="Q92" s="73"/>
      <c r="R92" s="73"/>
      <c r="S92" s="73"/>
      <c r="T92" s="73"/>
      <c r="U92" s="74"/>
    </row>
    <row r="93" spans="2:21" s="15" customFormat="1" x14ac:dyDescent="0.25">
      <c r="B93" s="72" t="s">
        <v>3516</v>
      </c>
      <c r="C93" s="73"/>
      <c r="D93" s="73"/>
      <c r="E93" s="73"/>
      <c r="F93" s="73"/>
      <c r="G93" s="73"/>
      <c r="H93" s="73"/>
      <c r="I93" s="73"/>
      <c r="J93" s="73"/>
      <c r="K93" s="73"/>
      <c r="L93" s="73"/>
      <c r="M93" s="73"/>
      <c r="N93" s="73"/>
      <c r="O93" s="73"/>
      <c r="P93" s="73"/>
      <c r="Q93" s="73"/>
      <c r="R93" s="73"/>
      <c r="S93" s="73"/>
      <c r="T93" s="73"/>
      <c r="U93" s="74"/>
    </row>
    <row r="94" spans="2:21" s="15" customFormat="1" x14ac:dyDescent="0.25">
      <c r="B94" s="72" t="s">
        <v>3517</v>
      </c>
      <c r="C94" s="73"/>
      <c r="D94" s="73"/>
      <c r="E94" s="73"/>
      <c r="F94" s="73"/>
      <c r="G94" s="73"/>
      <c r="H94" s="73"/>
      <c r="I94" s="73"/>
      <c r="J94" s="73"/>
      <c r="K94" s="73"/>
      <c r="L94" s="73"/>
      <c r="M94" s="73"/>
      <c r="N94" s="73"/>
      <c r="O94" s="73"/>
      <c r="P94" s="73"/>
      <c r="Q94" s="73"/>
      <c r="R94" s="73"/>
      <c r="S94" s="73"/>
      <c r="T94" s="73"/>
      <c r="U94" s="74"/>
    </row>
    <row r="95" spans="2:21" s="15" customFormat="1" x14ac:dyDescent="0.25">
      <c r="B95" s="72" t="s">
        <v>3518</v>
      </c>
      <c r="C95" s="73"/>
      <c r="D95" s="73"/>
      <c r="E95" s="73"/>
      <c r="F95" s="73"/>
      <c r="G95" s="73"/>
      <c r="H95" s="73"/>
      <c r="I95" s="73"/>
      <c r="J95" s="73"/>
      <c r="K95" s="73"/>
      <c r="L95" s="73"/>
      <c r="M95" s="73"/>
      <c r="N95" s="73"/>
      <c r="O95" s="73"/>
      <c r="P95" s="73"/>
      <c r="Q95" s="73"/>
      <c r="R95" s="73"/>
      <c r="S95" s="73"/>
      <c r="T95" s="73"/>
      <c r="U95" s="74"/>
    </row>
    <row r="96" spans="2:21" s="15" customFormat="1" x14ac:dyDescent="0.25">
      <c r="B96" s="72" t="s">
        <v>3519</v>
      </c>
      <c r="C96" s="73"/>
      <c r="D96" s="73"/>
      <c r="E96" s="73"/>
      <c r="F96" s="73"/>
      <c r="G96" s="73"/>
      <c r="H96" s="73"/>
      <c r="I96" s="73"/>
      <c r="J96" s="73"/>
      <c r="K96" s="73"/>
      <c r="L96" s="73"/>
      <c r="M96" s="73"/>
      <c r="N96" s="73"/>
      <c r="O96" s="73"/>
      <c r="P96" s="73"/>
      <c r="Q96" s="73"/>
      <c r="R96" s="73"/>
      <c r="S96" s="73"/>
      <c r="T96" s="73"/>
      <c r="U96" s="74"/>
    </row>
    <row r="97" spans="2:21" s="15" customFormat="1" x14ac:dyDescent="0.25">
      <c r="B97" s="72" t="s">
        <v>3520</v>
      </c>
      <c r="C97" s="73"/>
      <c r="D97" s="73"/>
      <c r="E97" s="73"/>
      <c r="F97" s="73"/>
      <c r="G97" s="73"/>
      <c r="H97" s="73"/>
      <c r="I97" s="73"/>
      <c r="J97" s="73"/>
      <c r="K97" s="73"/>
      <c r="L97" s="73"/>
      <c r="M97" s="73"/>
      <c r="N97" s="73"/>
      <c r="O97" s="73"/>
      <c r="P97" s="73"/>
      <c r="Q97" s="73"/>
      <c r="R97" s="73"/>
      <c r="S97" s="73"/>
      <c r="T97" s="73"/>
      <c r="U97" s="74"/>
    </row>
    <row r="98" spans="2:21" s="15" customFormat="1" x14ac:dyDescent="0.25">
      <c r="B98" s="72" t="s">
        <v>3521</v>
      </c>
      <c r="C98" s="73"/>
      <c r="D98" s="73"/>
      <c r="E98" s="73"/>
      <c r="F98" s="73"/>
      <c r="G98" s="73"/>
      <c r="H98" s="73"/>
      <c r="I98" s="73"/>
      <c r="J98" s="73"/>
      <c r="K98" s="73"/>
      <c r="L98" s="73"/>
      <c r="M98" s="73"/>
      <c r="N98" s="73"/>
      <c r="O98" s="73"/>
      <c r="P98" s="73"/>
      <c r="Q98" s="73"/>
      <c r="R98" s="73"/>
      <c r="S98" s="73"/>
      <c r="T98" s="73"/>
      <c r="U98" s="74"/>
    </row>
    <row r="99" spans="2:21" s="15" customFormat="1" x14ac:dyDescent="0.25">
      <c r="B99" s="72" t="s">
        <v>3522</v>
      </c>
      <c r="C99" s="73"/>
      <c r="D99" s="73"/>
      <c r="E99" s="73"/>
      <c r="F99" s="73"/>
      <c r="G99" s="73"/>
      <c r="H99" s="73"/>
      <c r="I99" s="73"/>
      <c r="J99" s="73"/>
      <c r="K99" s="73"/>
      <c r="L99" s="73"/>
      <c r="M99" s="73"/>
      <c r="N99" s="73"/>
      <c r="O99" s="73"/>
      <c r="P99" s="73"/>
      <c r="Q99" s="73"/>
      <c r="R99" s="73"/>
      <c r="S99" s="73"/>
      <c r="T99" s="73"/>
      <c r="U99" s="74"/>
    </row>
    <row r="100" spans="2:21" s="15" customFormat="1" x14ac:dyDescent="0.25">
      <c r="B100" s="72" t="s">
        <v>3114</v>
      </c>
      <c r="C100" s="73"/>
      <c r="D100" s="73"/>
      <c r="E100" s="73"/>
      <c r="F100" s="73"/>
      <c r="G100" s="73"/>
      <c r="H100" s="73"/>
      <c r="I100" s="73"/>
      <c r="J100" s="73"/>
      <c r="K100" s="73"/>
      <c r="L100" s="73"/>
      <c r="M100" s="73"/>
      <c r="N100" s="73"/>
      <c r="O100" s="73"/>
      <c r="P100" s="73"/>
      <c r="Q100" s="73"/>
      <c r="R100" s="73"/>
      <c r="S100" s="73"/>
      <c r="T100" s="73"/>
      <c r="U100" s="74"/>
    </row>
    <row r="101" spans="2:21" s="15" customFormat="1" x14ac:dyDescent="0.25">
      <c r="B101" s="72" t="s">
        <v>3523</v>
      </c>
      <c r="C101" s="73"/>
      <c r="D101" s="73"/>
      <c r="E101" s="73"/>
      <c r="F101" s="73"/>
      <c r="G101" s="73"/>
      <c r="H101" s="73"/>
      <c r="I101" s="73"/>
      <c r="J101" s="73"/>
      <c r="K101" s="73"/>
      <c r="L101" s="73"/>
      <c r="M101" s="73"/>
      <c r="N101" s="73"/>
      <c r="O101" s="73"/>
      <c r="P101" s="73"/>
      <c r="Q101" s="73"/>
      <c r="R101" s="73"/>
      <c r="S101" s="73"/>
      <c r="T101" s="73"/>
      <c r="U101" s="74"/>
    </row>
    <row r="102" spans="2:21" s="15" customFormat="1" x14ac:dyDescent="0.25">
      <c r="B102" s="72" t="s">
        <v>3524</v>
      </c>
      <c r="C102" s="73"/>
      <c r="D102" s="73"/>
      <c r="E102" s="73"/>
      <c r="F102" s="73"/>
      <c r="G102" s="73"/>
      <c r="H102" s="73"/>
      <c r="I102" s="73"/>
      <c r="J102" s="73"/>
      <c r="K102" s="73"/>
      <c r="L102" s="73"/>
      <c r="M102" s="73"/>
      <c r="N102" s="73"/>
      <c r="O102" s="73"/>
      <c r="P102" s="73"/>
      <c r="Q102" s="73"/>
      <c r="R102" s="73"/>
      <c r="S102" s="73"/>
      <c r="T102" s="73"/>
      <c r="U102" s="74"/>
    </row>
    <row r="103" spans="2:21" s="15" customFormat="1" x14ac:dyDescent="0.25">
      <c r="B103" s="72" t="s">
        <v>3525</v>
      </c>
      <c r="C103" s="73"/>
      <c r="D103" s="73"/>
      <c r="E103" s="73"/>
      <c r="F103" s="73"/>
      <c r="G103" s="73"/>
      <c r="H103" s="73"/>
      <c r="I103" s="73"/>
      <c r="J103" s="73"/>
      <c r="K103" s="73"/>
      <c r="L103" s="73"/>
      <c r="M103" s="73"/>
      <c r="N103" s="73"/>
      <c r="O103" s="73"/>
      <c r="P103" s="73"/>
      <c r="Q103" s="73"/>
      <c r="R103" s="73"/>
      <c r="S103" s="73"/>
      <c r="T103" s="73"/>
      <c r="U103" s="74"/>
    </row>
    <row r="104" spans="2:21" s="15" customFormat="1" x14ac:dyDescent="0.25">
      <c r="B104" s="72" t="s">
        <v>3526</v>
      </c>
      <c r="C104" s="73"/>
      <c r="D104" s="73"/>
      <c r="E104" s="73"/>
      <c r="F104" s="73"/>
      <c r="G104" s="73"/>
      <c r="H104" s="73"/>
      <c r="I104" s="73"/>
      <c r="J104" s="73"/>
      <c r="K104" s="73"/>
      <c r="L104" s="73"/>
      <c r="M104" s="73"/>
      <c r="N104" s="73"/>
      <c r="O104" s="73"/>
      <c r="P104" s="73"/>
      <c r="Q104" s="73"/>
      <c r="R104" s="73"/>
      <c r="S104" s="73"/>
      <c r="T104" s="73"/>
      <c r="U104" s="74"/>
    </row>
    <row r="105" spans="2:21" s="15" customFormat="1" x14ac:dyDescent="0.25">
      <c r="B105" s="72" t="s">
        <v>3527</v>
      </c>
      <c r="C105" s="73"/>
      <c r="D105" s="73"/>
      <c r="E105" s="73"/>
      <c r="F105" s="73"/>
      <c r="G105" s="73"/>
      <c r="H105" s="73"/>
      <c r="I105" s="73"/>
      <c r="J105" s="73"/>
      <c r="K105" s="73"/>
      <c r="L105" s="73"/>
      <c r="M105" s="73"/>
      <c r="N105" s="73"/>
      <c r="O105" s="73"/>
      <c r="P105" s="73"/>
      <c r="Q105" s="73"/>
      <c r="R105" s="73"/>
      <c r="S105" s="73"/>
      <c r="T105" s="73"/>
      <c r="U105" s="74"/>
    </row>
    <row r="106" spans="2:21" s="15" customFormat="1" x14ac:dyDescent="0.25">
      <c r="B106" s="72" t="s">
        <v>3058</v>
      </c>
      <c r="C106" s="73"/>
      <c r="D106" s="73"/>
      <c r="E106" s="73"/>
      <c r="F106" s="73"/>
      <c r="G106" s="73"/>
      <c r="H106" s="73"/>
      <c r="I106" s="73"/>
      <c r="J106" s="73"/>
      <c r="K106" s="73"/>
      <c r="L106" s="73"/>
      <c r="M106" s="73"/>
      <c r="N106" s="73"/>
      <c r="O106" s="73"/>
      <c r="P106" s="73"/>
      <c r="Q106" s="73"/>
      <c r="R106" s="73"/>
      <c r="S106" s="73"/>
      <c r="T106" s="73"/>
      <c r="U106" s="74"/>
    </row>
    <row r="107" spans="2:21" s="15" customFormat="1" x14ac:dyDescent="0.25">
      <c r="B107" s="72" t="s">
        <v>3627</v>
      </c>
      <c r="C107" s="73"/>
      <c r="D107" s="73"/>
      <c r="E107" s="73"/>
      <c r="F107" s="73"/>
      <c r="G107" s="73"/>
      <c r="H107" s="73"/>
      <c r="I107" s="73"/>
      <c r="J107" s="73"/>
      <c r="K107" s="73"/>
      <c r="L107" s="73"/>
      <c r="M107" s="73"/>
      <c r="N107" s="73"/>
      <c r="O107" s="73"/>
      <c r="P107" s="73"/>
      <c r="Q107" s="73"/>
      <c r="R107" s="73"/>
      <c r="S107" s="73"/>
      <c r="T107" s="73"/>
      <c r="U107" s="74"/>
    </row>
    <row r="108" spans="2:21" s="15" customFormat="1" x14ac:dyDescent="0.25">
      <c r="B108" s="72" t="s">
        <v>3085</v>
      </c>
      <c r="C108" s="73"/>
      <c r="D108" s="73"/>
      <c r="E108" s="73"/>
      <c r="F108" s="73"/>
      <c r="G108" s="73"/>
      <c r="H108" s="73"/>
      <c r="I108" s="73"/>
      <c r="J108" s="73"/>
      <c r="K108" s="73"/>
      <c r="L108" s="73"/>
      <c r="M108" s="73"/>
      <c r="N108" s="73"/>
      <c r="O108" s="73"/>
      <c r="P108" s="73"/>
      <c r="Q108" s="73"/>
      <c r="R108" s="73"/>
      <c r="S108" s="73"/>
      <c r="T108" s="73"/>
      <c r="U108" s="74"/>
    </row>
    <row r="109" spans="2:21" s="15" customFormat="1" x14ac:dyDescent="0.25">
      <c r="B109" s="72" t="s">
        <v>3628</v>
      </c>
      <c r="C109" s="73"/>
      <c r="D109" s="73"/>
      <c r="E109" s="73"/>
      <c r="F109" s="73"/>
      <c r="G109" s="73"/>
      <c r="H109" s="73"/>
      <c r="I109" s="73"/>
      <c r="J109" s="73"/>
      <c r="K109" s="73"/>
      <c r="L109" s="73"/>
      <c r="M109" s="73"/>
      <c r="N109" s="73"/>
      <c r="O109" s="73"/>
      <c r="P109" s="73"/>
      <c r="Q109" s="73"/>
      <c r="R109" s="73"/>
      <c r="S109" s="73"/>
      <c r="T109" s="73"/>
      <c r="U109" s="74"/>
    </row>
    <row r="110" spans="2:21" s="15" customFormat="1" x14ac:dyDescent="0.25">
      <c r="B110" s="72" t="s">
        <v>3629</v>
      </c>
      <c r="C110" s="73"/>
      <c r="D110" s="73"/>
      <c r="E110" s="73"/>
      <c r="F110" s="73"/>
      <c r="G110" s="73"/>
      <c r="H110" s="73"/>
      <c r="I110" s="73"/>
      <c r="J110" s="73"/>
      <c r="K110" s="73"/>
      <c r="L110" s="73"/>
      <c r="M110" s="73"/>
      <c r="N110" s="73"/>
      <c r="O110" s="73"/>
      <c r="P110" s="73"/>
      <c r="Q110" s="73"/>
      <c r="R110" s="73"/>
      <c r="S110" s="73"/>
      <c r="T110" s="73"/>
      <c r="U110" s="74"/>
    </row>
    <row r="111" spans="2:21" s="15" customFormat="1" x14ac:dyDescent="0.25">
      <c r="B111" s="72" t="s">
        <v>3630</v>
      </c>
      <c r="C111" s="73"/>
      <c r="D111" s="73"/>
      <c r="E111" s="73"/>
      <c r="F111" s="73"/>
      <c r="G111" s="73"/>
      <c r="H111" s="73"/>
      <c r="I111" s="73"/>
      <c r="J111" s="73"/>
      <c r="K111" s="73"/>
      <c r="L111" s="73"/>
      <c r="M111" s="73"/>
      <c r="N111" s="73"/>
      <c r="O111" s="73"/>
      <c r="P111" s="73"/>
      <c r="Q111" s="73"/>
      <c r="R111" s="73"/>
      <c r="S111" s="73"/>
      <c r="T111" s="73"/>
      <c r="U111" s="74"/>
    </row>
    <row r="112" spans="2:21" s="15" customFormat="1" x14ac:dyDescent="0.25">
      <c r="B112" s="72" t="s">
        <v>3631</v>
      </c>
      <c r="C112" s="73"/>
      <c r="D112" s="73"/>
      <c r="E112" s="73"/>
      <c r="F112" s="73"/>
      <c r="G112" s="73"/>
      <c r="H112" s="73"/>
      <c r="I112" s="73"/>
      <c r="J112" s="73"/>
      <c r="K112" s="73"/>
      <c r="L112" s="73"/>
      <c r="M112" s="73"/>
      <c r="N112" s="73"/>
      <c r="O112" s="73"/>
      <c r="P112" s="73"/>
      <c r="Q112" s="73"/>
      <c r="R112" s="73"/>
      <c r="S112" s="73"/>
      <c r="T112" s="73"/>
      <c r="U112" s="74"/>
    </row>
    <row r="113" spans="2:21" s="15" customFormat="1" x14ac:dyDescent="0.25">
      <c r="B113" s="72" t="s">
        <v>3632</v>
      </c>
      <c r="C113" s="73"/>
      <c r="D113" s="73"/>
      <c r="E113" s="73"/>
      <c r="F113" s="73"/>
      <c r="G113" s="73"/>
      <c r="H113" s="73"/>
      <c r="I113" s="73"/>
      <c r="J113" s="73"/>
      <c r="K113" s="73"/>
      <c r="L113" s="73"/>
      <c r="M113" s="73"/>
      <c r="N113" s="73"/>
      <c r="O113" s="73"/>
      <c r="P113" s="73"/>
      <c r="Q113" s="73"/>
      <c r="R113" s="73"/>
      <c r="S113" s="73"/>
      <c r="T113" s="73"/>
      <c r="U113" s="74"/>
    </row>
    <row r="114" spans="2:21" s="15" customFormat="1" x14ac:dyDescent="0.25">
      <c r="B114" s="72" t="s">
        <v>3633</v>
      </c>
      <c r="C114" s="73"/>
      <c r="D114" s="73"/>
      <c r="E114" s="73"/>
      <c r="F114" s="73"/>
      <c r="G114" s="73"/>
      <c r="H114" s="73"/>
      <c r="I114" s="73"/>
      <c r="J114" s="73"/>
      <c r="K114" s="73"/>
      <c r="L114" s="73"/>
      <c r="M114" s="73"/>
      <c r="N114" s="73"/>
      <c r="O114" s="73"/>
      <c r="P114" s="73"/>
      <c r="Q114" s="73"/>
      <c r="R114" s="73"/>
      <c r="S114" s="73"/>
      <c r="T114" s="73"/>
      <c r="U114" s="74"/>
    </row>
    <row r="115" spans="2:21" s="15" customFormat="1" x14ac:dyDescent="0.25">
      <c r="B115" s="72" t="s">
        <v>3634</v>
      </c>
      <c r="C115" s="73"/>
      <c r="D115" s="73"/>
      <c r="E115" s="73"/>
      <c r="F115" s="73"/>
      <c r="G115" s="73"/>
      <c r="H115" s="73"/>
      <c r="I115" s="73"/>
      <c r="J115" s="73"/>
      <c r="K115" s="73"/>
      <c r="L115" s="73"/>
      <c r="M115" s="73"/>
      <c r="N115" s="73"/>
      <c r="O115" s="73"/>
      <c r="P115" s="73"/>
      <c r="Q115" s="73"/>
      <c r="R115" s="73"/>
      <c r="S115" s="73"/>
      <c r="T115" s="73"/>
      <c r="U115" s="74"/>
    </row>
    <row r="116" spans="2:21" s="15" customFormat="1" x14ac:dyDescent="0.25">
      <c r="B116" s="72" t="s">
        <v>3635</v>
      </c>
      <c r="C116" s="73"/>
      <c r="D116" s="73"/>
      <c r="E116" s="73"/>
      <c r="F116" s="73"/>
      <c r="G116" s="73"/>
      <c r="H116" s="73"/>
      <c r="I116" s="73"/>
      <c r="J116" s="73"/>
      <c r="K116" s="73"/>
      <c r="L116" s="73"/>
      <c r="M116" s="73"/>
      <c r="N116" s="73"/>
      <c r="O116" s="73"/>
      <c r="P116" s="73"/>
      <c r="Q116" s="73"/>
      <c r="R116" s="73"/>
      <c r="S116" s="73"/>
      <c r="T116" s="73"/>
      <c r="U116" s="74"/>
    </row>
    <row r="117" spans="2:21" s="15" customFormat="1" x14ac:dyDescent="0.25">
      <c r="B117" s="72" t="s">
        <v>3636</v>
      </c>
      <c r="C117" s="73"/>
      <c r="D117" s="73"/>
      <c r="E117" s="73"/>
      <c r="F117" s="73"/>
      <c r="G117" s="73"/>
      <c r="H117" s="73"/>
      <c r="I117" s="73"/>
      <c r="J117" s="73"/>
      <c r="K117" s="73"/>
      <c r="L117" s="73"/>
      <c r="M117" s="73"/>
      <c r="N117" s="73"/>
      <c r="O117" s="73"/>
      <c r="P117" s="73"/>
      <c r="Q117" s="73"/>
      <c r="R117" s="73"/>
      <c r="S117" s="73"/>
      <c r="T117" s="73"/>
      <c r="U117" s="74"/>
    </row>
    <row r="118" spans="2:21" s="15" customFormat="1" x14ac:dyDescent="0.25">
      <c r="B118" s="72" t="s">
        <v>3637</v>
      </c>
      <c r="C118" s="73"/>
      <c r="D118" s="73"/>
      <c r="E118" s="73"/>
      <c r="F118" s="73"/>
      <c r="G118" s="73"/>
      <c r="H118" s="73"/>
      <c r="I118" s="73"/>
      <c r="J118" s="73"/>
      <c r="K118" s="73"/>
      <c r="L118" s="73"/>
      <c r="M118" s="73"/>
      <c r="N118" s="73"/>
      <c r="O118" s="73"/>
      <c r="P118" s="73"/>
      <c r="Q118" s="73"/>
      <c r="R118" s="73"/>
      <c r="S118" s="73"/>
      <c r="T118" s="73"/>
      <c r="U118" s="74"/>
    </row>
    <row r="119" spans="2:21" s="15" customFormat="1" x14ac:dyDescent="0.25">
      <c r="B119" s="72" t="s">
        <v>3638</v>
      </c>
      <c r="C119" s="73"/>
      <c r="D119" s="73"/>
      <c r="E119" s="73"/>
      <c r="F119" s="73"/>
      <c r="G119" s="73"/>
      <c r="H119" s="73"/>
      <c r="I119" s="73"/>
      <c r="J119" s="73"/>
      <c r="K119" s="73"/>
      <c r="L119" s="73"/>
      <c r="M119" s="73"/>
      <c r="N119" s="73"/>
      <c r="O119" s="73"/>
      <c r="P119" s="73"/>
      <c r="Q119" s="73"/>
      <c r="R119" s="73"/>
      <c r="S119" s="73"/>
      <c r="T119" s="73"/>
      <c r="U119" s="74"/>
    </row>
    <row r="120" spans="2:21" s="15" customFormat="1" x14ac:dyDescent="0.25">
      <c r="B120" s="72" t="s">
        <v>3639</v>
      </c>
      <c r="C120" s="73"/>
      <c r="D120" s="73"/>
      <c r="E120" s="73"/>
      <c r="F120" s="73"/>
      <c r="G120" s="73"/>
      <c r="H120" s="73"/>
      <c r="I120" s="73"/>
      <c r="J120" s="73"/>
      <c r="K120" s="73"/>
      <c r="L120" s="73"/>
      <c r="M120" s="73"/>
      <c r="N120" s="73"/>
      <c r="O120" s="73"/>
      <c r="P120" s="73"/>
      <c r="Q120" s="73"/>
      <c r="R120" s="73"/>
      <c r="S120" s="73"/>
      <c r="T120" s="73"/>
      <c r="U120" s="74"/>
    </row>
    <row r="121" spans="2:21" s="15" customFormat="1" x14ac:dyDescent="0.25">
      <c r="B121" s="72" t="s">
        <v>3640</v>
      </c>
      <c r="C121" s="73"/>
      <c r="D121" s="73"/>
      <c r="E121" s="73"/>
      <c r="F121" s="73"/>
      <c r="G121" s="73"/>
      <c r="H121" s="73"/>
      <c r="I121" s="73"/>
      <c r="J121" s="73"/>
      <c r="K121" s="73"/>
      <c r="L121" s="73"/>
      <c r="M121" s="73"/>
      <c r="N121" s="73"/>
      <c r="O121" s="73"/>
      <c r="P121" s="73"/>
      <c r="Q121" s="73"/>
      <c r="R121" s="73"/>
      <c r="S121" s="73"/>
      <c r="T121" s="73"/>
      <c r="U121" s="74"/>
    </row>
    <row r="122" spans="2:21" s="15" customFormat="1" x14ac:dyDescent="0.25">
      <c r="B122" s="72" t="s">
        <v>3641</v>
      </c>
      <c r="C122" s="73"/>
      <c r="D122" s="73"/>
      <c r="E122" s="73"/>
      <c r="F122" s="73"/>
      <c r="G122" s="73"/>
      <c r="H122" s="73"/>
      <c r="I122" s="73"/>
      <c r="J122" s="73"/>
      <c r="K122" s="73"/>
      <c r="L122" s="73"/>
      <c r="M122" s="73"/>
      <c r="N122" s="73"/>
      <c r="O122" s="73"/>
      <c r="P122" s="73"/>
      <c r="Q122" s="73"/>
      <c r="R122" s="73"/>
      <c r="S122" s="73"/>
      <c r="T122" s="73"/>
      <c r="U122" s="74"/>
    </row>
    <row r="123" spans="2:21" s="15" customFormat="1" x14ac:dyDescent="0.25">
      <c r="B123" s="72" t="s">
        <v>3642</v>
      </c>
      <c r="C123" s="73"/>
      <c r="D123" s="73"/>
      <c r="E123" s="73"/>
      <c r="F123" s="73"/>
      <c r="G123" s="73"/>
      <c r="H123" s="73"/>
      <c r="I123" s="73"/>
      <c r="J123" s="73"/>
      <c r="K123" s="73"/>
      <c r="L123" s="73"/>
      <c r="M123" s="73"/>
      <c r="N123" s="73"/>
      <c r="O123" s="73"/>
      <c r="P123" s="73"/>
      <c r="Q123" s="73"/>
      <c r="R123" s="73"/>
      <c r="S123" s="73"/>
      <c r="T123" s="73"/>
      <c r="U123" s="74"/>
    </row>
    <row r="124" spans="2:21" s="15" customFormat="1" x14ac:dyDescent="0.25">
      <c r="B124" s="72" t="s">
        <v>3643</v>
      </c>
      <c r="C124" s="73"/>
      <c r="D124" s="73"/>
      <c r="E124" s="73"/>
      <c r="F124" s="73"/>
      <c r="G124" s="73"/>
      <c r="H124" s="73"/>
      <c r="I124" s="73"/>
      <c r="J124" s="73"/>
      <c r="K124" s="73"/>
      <c r="L124" s="73"/>
      <c r="M124" s="73"/>
      <c r="N124" s="73"/>
      <c r="O124" s="73"/>
      <c r="P124" s="73"/>
      <c r="Q124" s="73"/>
      <c r="R124" s="73"/>
      <c r="S124" s="73"/>
      <c r="T124" s="73"/>
      <c r="U124" s="74"/>
    </row>
    <row r="125" spans="2:21" s="15" customFormat="1" x14ac:dyDescent="0.25">
      <c r="B125" s="72" t="s">
        <v>3083</v>
      </c>
      <c r="C125" s="73"/>
      <c r="D125" s="73"/>
      <c r="E125" s="73"/>
      <c r="F125" s="73"/>
      <c r="G125" s="73"/>
      <c r="H125" s="73"/>
      <c r="I125" s="73"/>
      <c r="J125" s="73"/>
      <c r="K125" s="73"/>
      <c r="L125" s="73"/>
      <c r="M125" s="73"/>
      <c r="N125" s="73"/>
      <c r="O125" s="73"/>
      <c r="P125" s="73"/>
      <c r="Q125" s="73"/>
      <c r="R125" s="73"/>
      <c r="S125" s="73"/>
      <c r="T125" s="73"/>
      <c r="U125" s="74"/>
    </row>
    <row r="126" spans="2:21" s="15" customFormat="1" x14ac:dyDescent="0.25">
      <c r="B126" s="72" t="s">
        <v>3093</v>
      </c>
      <c r="C126" s="73"/>
      <c r="D126" s="73"/>
      <c r="E126" s="73"/>
      <c r="F126" s="73"/>
      <c r="G126" s="73"/>
      <c r="H126" s="73"/>
      <c r="I126" s="73"/>
      <c r="J126" s="73"/>
      <c r="K126" s="73"/>
      <c r="L126" s="73"/>
      <c r="M126" s="73"/>
      <c r="N126" s="73"/>
      <c r="O126" s="73"/>
      <c r="P126" s="73"/>
      <c r="Q126" s="73"/>
      <c r="R126" s="73"/>
      <c r="S126" s="73"/>
      <c r="T126" s="73"/>
      <c r="U126" s="74"/>
    </row>
    <row r="127" spans="2:21" s="15" customFormat="1" x14ac:dyDescent="0.25">
      <c r="B127" s="72" t="s">
        <v>3162</v>
      </c>
      <c r="C127" s="73"/>
      <c r="D127" s="73"/>
      <c r="E127" s="73"/>
      <c r="F127" s="73"/>
      <c r="G127" s="73"/>
      <c r="H127" s="73"/>
      <c r="I127" s="73"/>
      <c r="J127" s="73"/>
      <c r="K127" s="73"/>
      <c r="L127" s="73"/>
      <c r="M127" s="73"/>
      <c r="N127" s="73"/>
      <c r="O127" s="73"/>
      <c r="P127" s="73"/>
      <c r="Q127" s="73"/>
      <c r="R127" s="73"/>
      <c r="S127" s="73"/>
      <c r="T127" s="73"/>
      <c r="U127" s="74"/>
    </row>
    <row r="128" spans="2:21" s="15" customFormat="1" x14ac:dyDescent="0.25">
      <c r="B128" s="72" t="s">
        <v>3085</v>
      </c>
      <c r="C128" s="73"/>
      <c r="D128" s="73"/>
      <c r="E128" s="73"/>
      <c r="F128" s="73"/>
      <c r="G128" s="73"/>
      <c r="H128" s="73"/>
      <c r="I128" s="73"/>
      <c r="J128" s="73"/>
      <c r="K128" s="73"/>
      <c r="L128" s="73"/>
      <c r="M128" s="73"/>
      <c r="N128" s="73"/>
      <c r="O128" s="73"/>
      <c r="P128" s="73"/>
      <c r="Q128" s="73"/>
      <c r="R128" s="73"/>
      <c r="S128" s="73"/>
      <c r="T128" s="73"/>
      <c r="U128" s="74"/>
    </row>
    <row r="129" spans="2:21" s="15" customFormat="1" x14ac:dyDescent="0.25">
      <c r="B129" s="72" t="s">
        <v>3163</v>
      </c>
      <c r="C129" s="73"/>
      <c r="D129" s="73"/>
      <c r="E129" s="73"/>
      <c r="F129" s="73"/>
      <c r="G129" s="73"/>
      <c r="H129" s="73"/>
      <c r="I129" s="73"/>
      <c r="J129" s="73"/>
      <c r="K129" s="73"/>
      <c r="L129" s="73"/>
      <c r="M129" s="73"/>
      <c r="N129" s="73"/>
      <c r="O129" s="73"/>
      <c r="P129" s="73"/>
      <c r="Q129" s="73"/>
      <c r="R129" s="73"/>
      <c r="S129" s="73"/>
      <c r="T129" s="73"/>
      <c r="U129" s="74"/>
    </row>
    <row r="130" spans="2:21" s="15" customFormat="1" x14ac:dyDescent="0.25">
      <c r="B130" s="72" t="s">
        <v>3528</v>
      </c>
      <c r="C130" s="73"/>
      <c r="D130" s="73"/>
      <c r="E130" s="73"/>
      <c r="F130" s="73"/>
      <c r="G130" s="73"/>
      <c r="H130" s="73"/>
      <c r="I130" s="73"/>
      <c r="J130" s="73"/>
      <c r="K130" s="73"/>
      <c r="L130" s="73"/>
      <c r="M130" s="73"/>
      <c r="N130" s="73"/>
      <c r="O130" s="73"/>
      <c r="P130" s="73"/>
      <c r="Q130" s="73"/>
      <c r="R130" s="73"/>
      <c r="S130" s="73"/>
      <c r="T130" s="73"/>
      <c r="U130" s="74"/>
    </row>
    <row r="131" spans="2:21" s="15" customFormat="1" x14ac:dyDescent="0.25">
      <c r="B131" s="72" t="s">
        <v>3083</v>
      </c>
      <c r="C131" s="73"/>
      <c r="D131" s="73"/>
      <c r="E131" s="73"/>
      <c r="F131" s="73"/>
      <c r="G131" s="73"/>
      <c r="H131" s="73"/>
      <c r="I131" s="73"/>
      <c r="J131" s="73"/>
      <c r="K131" s="73"/>
      <c r="L131" s="73"/>
      <c r="M131" s="73"/>
      <c r="N131" s="73"/>
      <c r="O131" s="73"/>
      <c r="P131" s="73"/>
      <c r="Q131" s="73"/>
      <c r="R131" s="73"/>
      <c r="S131" s="73"/>
      <c r="T131" s="73"/>
      <c r="U131" s="74"/>
    </row>
    <row r="132" spans="2:21" s="15" customFormat="1" x14ac:dyDescent="0.25">
      <c r="B132" s="72" t="s">
        <v>3093</v>
      </c>
      <c r="C132" s="73"/>
      <c r="D132" s="73"/>
      <c r="E132" s="73"/>
      <c r="F132" s="73"/>
      <c r="G132" s="73"/>
      <c r="H132" s="73"/>
      <c r="I132" s="73"/>
      <c r="J132" s="73"/>
      <c r="K132" s="73"/>
      <c r="L132" s="73"/>
      <c r="M132" s="73"/>
      <c r="N132" s="73"/>
      <c r="O132" s="73"/>
      <c r="P132" s="73"/>
      <c r="Q132" s="73"/>
      <c r="R132" s="73"/>
      <c r="S132" s="73"/>
      <c r="T132" s="73"/>
      <c r="U132" s="74"/>
    </row>
    <row r="133" spans="2:21" s="15" customFormat="1" x14ac:dyDescent="0.25">
      <c r="B133" s="72" t="s">
        <v>3165</v>
      </c>
      <c r="C133" s="73"/>
      <c r="D133" s="73"/>
      <c r="E133" s="73"/>
      <c r="F133" s="73"/>
      <c r="G133" s="73"/>
      <c r="H133" s="73"/>
      <c r="I133" s="73"/>
      <c r="J133" s="73"/>
      <c r="K133" s="73"/>
      <c r="L133" s="73"/>
      <c r="M133" s="73"/>
      <c r="N133" s="73"/>
      <c r="O133" s="73"/>
      <c r="P133" s="73"/>
      <c r="Q133" s="73"/>
      <c r="R133" s="73"/>
      <c r="S133" s="73"/>
      <c r="T133" s="73"/>
      <c r="U133" s="74"/>
    </row>
    <row r="134" spans="2:21" s="15" customFormat="1" x14ac:dyDescent="0.25">
      <c r="B134" s="72" t="s">
        <v>3085</v>
      </c>
      <c r="C134" s="73"/>
      <c r="D134" s="73"/>
      <c r="E134" s="73"/>
      <c r="F134" s="73"/>
      <c r="G134" s="73"/>
      <c r="H134" s="73"/>
      <c r="I134" s="73"/>
      <c r="J134" s="73"/>
      <c r="K134" s="73"/>
      <c r="L134" s="73"/>
      <c r="M134" s="73"/>
      <c r="N134" s="73"/>
      <c r="O134" s="73"/>
      <c r="P134" s="73"/>
      <c r="Q134" s="73"/>
      <c r="R134" s="73"/>
      <c r="S134" s="73"/>
      <c r="T134" s="73"/>
      <c r="U134" s="74"/>
    </row>
    <row r="135" spans="2:21" s="15" customFormat="1" x14ac:dyDescent="0.25">
      <c r="B135" s="72" t="s">
        <v>3529</v>
      </c>
      <c r="C135" s="73"/>
      <c r="D135" s="73"/>
      <c r="E135" s="73"/>
      <c r="F135" s="73"/>
      <c r="G135" s="73"/>
      <c r="H135" s="73"/>
      <c r="I135" s="73"/>
      <c r="J135" s="73"/>
      <c r="K135" s="73"/>
      <c r="L135" s="73"/>
      <c r="M135" s="73"/>
      <c r="N135" s="73"/>
      <c r="O135" s="73"/>
      <c r="P135" s="73"/>
      <c r="Q135" s="73"/>
      <c r="R135" s="73"/>
      <c r="S135" s="73"/>
      <c r="T135" s="73"/>
      <c r="U135" s="74"/>
    </row>
    <row r="136" spans="2:21" s="15" customFormat="1" x14ac:dyDescent="0.25">
      <c r="B136" s="72" t="s">
        <v>3203</v>
      </c>
      <c r="C136" s="73"/>
      <c r="D136" s="73"/>
      <c r="E136" s="73"/>
      <c r="F136" s="73"/>
      <c r="G136" s="73"/>
      <c r="H136" s="73"/>
      <c r="I136" s="73"/>
      <c r="J136" s="73"/>
      <c r="K136" s="73"/>
      <c r="L136" s="73"/>
      <c r="M136" s="73"/>
      <c r="N136" s="73"/>
      <c r="O136" s="73"/>
      <c r="P136" s="73"/>
      <c r="Q136" s="73"/>
      <c r="R136" s="73"/>
      <c r="S136" s="73"/>
      <c r="T136" s="73"/>
      <c r="U136" s="74"/>
    </row>
    <row r="137" spans="2:21" s="15" customFormat="1" x14ac:dyDescent="0.25">
      <c r="B137" s="72" t="s">
        <v>3168</v>
      </c>
      <c r="C137" s="73"/>
      <c r="D137" s="73"/>
      <c r="E137" s="73"/>
      <c r="F137" s="73"/>
      <c r="G137" s="73"/>
      <c r="H137" s="73"/>
      <c r="I137" s="73"/>
      <c r="J137" s="73"/>
      <c r="K137" s="73"/>
      <c r="L137" s="73"/>
      <c r="M137" s="73"/>
      <c r="N137" s="73"/>
      <c r="O137" s="73"/>
      <c r="P137" s="73"/>
      <c r="Q137" s="73"/>
      <c r="R137" s="73"/>
      <c r="S137" s="73"/>
      <c r="T137" s="73"/>
      <c r="U137" s="74"/>
    </row>
    <row r="138" spans="2:21" s="15" customFormat="1" x14ac:dyDescent="0.25">
      <c r="B138" s="72" t="s">
        <v>3169</v>
      </c>
      <c r="C138" s="73"/>
      <c r="D138" s="73"/>
      <c r="E138" s="73"/>
      <c r="F138" s="73"/>
      <c r="G138" s="73"/>
      <c r="H138" s="73"/>
      <c r="I138" s="73"/>
      <c r="J138" s="73"/>
      <c r="K138" s="73"/>
      <c r="L138" s="73"/>
      <c r="M138" s="73"/>
      <c r="N138" s="73"/>
      <c r="O138" s="73"/>
      <c r="P138" s="73"/>
      <c r="Q138" s="73"/>
      <c r="R138" s="73"/>
      <c r="S138" s="73"/>
      <c r="T138" s="73"/>
      <c r="U138" s="74"/>
    </row>
    <row r="139" spans="2:21" s="15" customFormat="1" x14ac:dyDescent="0.25">
      <c r="B139" s="72" t="s">
        <v>3283</v>
      </c>
      <c r="C139" s="73"/>
      <c r="D139" s="73"/>
      <c r="E139" s="73"/>
      <c r="F139" s="73"/>
      <c r="G139" s="73"/>
      <c r="H139" s="73"/>
      <c r="I139" s="73"/>
      <c r="J139" s="73"/>
      <c r="K139" s="73"/>
      <c r="L139" s="73"/>
      <c r="M139" s="73"/>
      <c r="N139" s="73"/>
      <c r="O139" s="73"/>
      <c r="P139" s="73"/>
      <c r="Q139" s="73"/>
      <c r="R139" s="73"/>
      <c r="S139" s="73"/>
      <c r="T139" s="73"/>
      <c r="U139" s="74"/>
    </row>
    <row r="140" spans="2:21" s="15" customFormat="1" x14ac:dyDescent="0.25">
      <c r="B140" s="72" t="s">
        <v>3530</v>
      </c>
      <c r="C140" s="73"/>
      <c r="D140" s="73"/>
      <c r="E140" s="73"/>
      <c r="F140" s="73"/>
      <c r="G140" s="73"/>
      <c r="H140" s="73"/>
      <c r="I140" s="73"/>
      <c r="J140" s="73"/>
      <c r="K140" s="73"/>
      <c r="L140" s="73"/>
      <c r="M140" s="73"/>
      <c r="N140" s="73"/>
      <c r="O140" s="73"/>
      <c r="P140" s="73"/>
      <c r="Q140" s="73"/>
      <c r="R140" s="73"/>
      <c r="S140" s="73"/>
      <c r="T140" s="73"/>
      <c r="U140" s="74"/>
    </row>
    <row r="141" spans="2:21" s="15" customFormat="1" x14ac:dyDescent="0.25">
      <c r="B141" s="72" t="s">
        <v>3172</v>
      </c>
      <c r="C141" s="73"/>
      <c r="D141" s="73"/>
      <c r="E141" s="73"/>
      <c r="F141" s="73"/>
      <c r="G141" s="73"/>
      <c r="H141" s="73"/>
      <c r="I141" s="73"/>
      <c r="J141" s="73"/>
      <c r="K141" s="73"/>
      <c r="L141" s="73"/>
      <c r="M141" s="73"/>
      <c r="N141" s="73"/>
      <c r="O141" s="73"/>
      <c r="P141" s="73"/>
      <c r="Q141" s="73"/>
      <c r="R141" s="73"/>
      <c r="S141" s="73"/>
      <c r="T141" s="73"/>
      <c r="U141" s="74"/>
    </row>
    <row r="142" spans="2:21" s="15" customFormat="1" x14ac:dyDescent="0.25">
      <c r="B142" s="72" t="s">
        <v>3285</v>
      </c>
      <c r="C142" s="73"/>
      <c r="D142" s="73"/>
      <c r="E142" s="73"/>
      <c r="F142" s="73"/>
      <c r="G142" s="73"/>
      <c r="H142" s="73"/>
      <c r="I142" s="73"/>
      <c r="J142" s="73"/>
      <c r="K142" s="73"/>
      <c r="L142" s="73"/>
      <c r="M142" s="73"/>
      <c r="N142" s="73"/>
      <c r="O142" s="73"/>
      <c r="P142" s="73"/>
      <c r="Q142" s="73"/>
      <c r="R142" s="73"/>
      <c r="S142" s="73"/>
      <c r="T142" s="73"/>
      <c r="U142" s="74"/>
    </row>
    <row r="143" spans="2:21" s="15" customFormat="1" x14ac:dyDescent="0.25">
      <c r="B143" s="72" t="s">
        <v>3391</v>
      </c>
      <c r="C143" s="73"/>
      <c r="D143" s="73"/>
      <c r="E143" s="73"/>
      <c r="F143" s="73"/>
      <c r="G143" s="73"/>
      <c r="H143" s="73"/>
      <c r="I143" s="73"/>
      <c r="J143" s="73"/>
      <c r="K143" s="73"/>
      <c r="L143" s="73"/>
      <c r="M143" s="73"/>
      <c r="N143" s="73"/>
      <c r="O143" s="73"/>
      <c r="P143" s="73"/>
      <c r="Q143" s="73"/>
      <c r="R143" s="73"/>
      <c r="S143" s="73"/>
      <c r="T143" s="73"/>
      <c r="U143" s="74"/>
    </row>
    <row r="144" spans="2:21" s="15" customFormat="1" x14ac:dyDescent="0.25">
      <c r="B144" s="72" t="s">
        <v>3287</v>
      </c>
      <c r="C144" s="73"/>
      <c r="D144" s="73"/>
      <c r="E144" s="73"/>
      <c r="F144" s="73"/>
      <c r="G144" s="73"/>
      <c r="H144" s="73"/>
      <c r="I144" s="73"/>
      <c r="J144" s="73"/>
      <c r="K144" s="73"/>
      <c r="L144" s="73"/>
      <c r="M144" s="73"/>
      <c r="N144" s="73"/>
      <c r="O144" s="73"/>
      <c r="P144" s="73"/>
      <c r="Q144" s="73"/>
      <c r="R144" s="73"/>
      <c r="S144" s="73"/>
      <c r="T144" s="73"/>
      <c r="U144" s="74"/>
    </row>
    <row r="145" spans="2:21" s="15" customFormat="1" x14ac:dyDescent="0.25">
      <c r="B145" s="72" t="s">
        <v>3176</v>
      </c>
      <c r="C145" s="73"/>
      <c r="D145" s="73"/>
      <c r="E145" s="73"/>
      <c r="F145" s="73"/>
      <c r="G145" s="73"/>
      <c r="H145" s="73"/>
      <c r="I145" s="73"/>
      <c r="J145" s="73"/>
      <c r="K145" s="73"/>
      <c r="L145" s="73"/>
      <c r="M145" s="73"/>
      <c r="N145" s="73"/>
      <c r="O145" s="73"/>
      <c r="P145" s="73"/>
      <c r="Q145" s="73"/>
      <c r="R145" s="73"/>
      <c r="S145" s="73"/>
      <c r="T145" s="73"/>
      <c r="U145" s="74"/>
    </row>
    <row r="146" spans="2:21" s="15" customFormat="1" x14ac:dyDescent="0.25">
      <c r="B146" s="72" t="s">
        <v>3288</v>
      </c>
      <c r="C146" s="73"/>
      <c r="D146" s="73"/>
      <c r="E146" s="73"/>
      <c r="F146" s="73"/>
      <c r="G146" s="73"/>
      <c r="H146" s="73"/>
      <c r="I146" s="73"/>
      <c r="J146" s="73"/>
      <c r="K146" s="73"/>
      <c r="L146" s="73"/>
      <c r="M146" s="73"/>
      <c r="N146" s="73"/>
      <c r="O146" s="73"/>
      <c r="P146" s="73"/>
      <c r="Q146" s="73"/>
      <c r="R146" s="73"/>
      <c r="S146" s="73"/>
      <c r="T146" s="73"/>
      <c r="U146" s="74"/>
    </row>
    <row r="147" spans="2:21" s="15" customFormat="1" x14ac:dyDescent="0.25">
      <c r="B147" s="72" t="s">
        <v>3289</v>
      </c>
      <c r="C147" s="73"/>
      <c r="D147" s="73"/>
      <c r="E147" s="73"/>
      <c r="F147" s="73"/>
      <c r="G147" s="73"/>
      <c r="H147" s="73"/>
      <c r="I147" s="73"/>
      <c r="J147" s="73"/>
      <c r="K147" s="73"/>
      <c r="L147" s="73"/>
      <c r="M147" s="73"/>
      <c r="N147" s="73"/>
      <c r="O147" s="73"/>
      <c r="P147" s="73"/>
      <c r="Q147" s="73"/>
      <c r="R147" s="73"/>
      <c r="S147" s="73"/>
      <c r="T147" s="73"/>
      <c r="U147" s="74"/>
    </row>
    <row r="148" spans="2:21" s="15" customFormat="1" x14ac:dyDescent="0.25">
      <c r="B148" s="72" t="s">
        <v>3294</v>
      </c>
      <c r="C148" s="73"/>
      <c r="D148" s="73"/>
      <c r="E148" s="73"/>
      <c r="F148" s="73"/>
      <c r="G148" s="73"/>
      <c r="H148" s="73"/>
      <c r="I148" s="73"/>
      <c r="J148" s="73"/>
      <c r="K148" s="73"/>
      <c r="L148" s="73"/>
      <c r="M148" s="73"/>
      <c r="N148" s="73"/>
      <c r="O148" s="73"/>
      <c r="P148" s="73"/>
      <c r="Q148" s="73"/>
      <c r="R148" s="73"/>
      <c r="S148" s="73"/>
      <c r="T148" s="73"/>
      <c r="U148" s="74"/>
    </row>
    <row r="149" spans="2:21" s="15" customFormat="1" x14ac:dyDescent="0.25">
      <c r="B149" s="72" t="s">
        <v>3293</v>
      </c>
      <c r="C149" s="73"/>
      <c r="D149" s="73"/>
      <c r="E149" s="73"/>
      <c r="F149" s="73"/>
      <c r="G149" s="73"/>
      <c r="H149" s="73"/>
      <c r="I149" s="73"/>
      <c r="J149" s="73"/>
      <c r="K149" s="73"/>
      <c r="L149" s="73"/>
      <c r="M149" s="73"/>
      <c r="N149" s="73"/>
      <c r="O149" s="73"/>
      <c r="P149" s="73"/>
      <c r="Q149" s="73"/>
      <c r="R149" s="73"/>
      <c r="S149" s="73"/>
      <c r="T149" s="73"/>
      <c r="U149" s="74"/>
    </row>
    <row r="150" spans="2:21" s="15" customFormat="1" x14ac:dyDescent="0.25">
      <c r="B150" s="72" t="s">
        <v>3181</v>
      </c>
      <c r="C150" s="73"/>
      <c r="D150" s="73"/>
      <c r="E150" s="73"/>
      <c r="F150" s="73"/>
      <c r="G150" s="73"/>
      <c r="H150" s="73"/>
      <c r="I150" s="73"/>
      <c r="J150" s="73"/>
      <c r="K150" s="73"/>
      <c r="L150" s="73"/>
      <c r="M150" s="73"/>
      <c r="N150" s="73"/>
      <c r="O150" s="73"/>
      <c r="P150" s="73"/>
      <c r="Q150" s="73"/>
      <c r="R150" s="73"/>
      <c r="S150" s="73"/>
      <c r="T150" s="73"/>
      <c r="U150" s="74"/>
    </row>
    <row r="151" spans="2:21" s="15" customFormat="1" x14ac:dyDescent="0.25">
      <c r="B151" s="72" t="s">
        <v>3085</v>
      </c>
      <c r="C151" s="73"/>
      <c r="D151" s="73"/>
      <c r="E151" s="73"/>
      <c r="F151" s="73"/>
      <c r="G151" s="73"/>
      <c r="H151" s="73"/>
      <c r="I151" s="73"/>
      <c r="J151" s="73"/>
      <c r="K151" s="73"/>
      <c r="L151" s="73"/>
      <c r="M151" s="73"/>
      <c r="N151" s="73"/>
      <c r="O151" s="73"/>
      <c r="P151" s="73"/>
      <c r="Q151" s="73"/>
      <c r="R151" s="73"/>
      <c r="S151" s="73"/>
      <c r="T151" s="73"/>
      <c r="U151" s="74"/>
    </row>
    <row r="152" spans="2:21" s="15" customFormat="1" x14ac:dyDescent="0.25">
      <c r="B152" s="72" t="s">
        <v>3529</v>
      </c>
      <c r="C152" s="73"/>
      <c r="D152" s="73"/>
      <c r="E152" s="73"/>
      <c r="F152" s="73"/>
      <c r="G152" s="73"/>
      <c r="H152" s="73"/>
      <c r="I152" s="73"/>
      <c r="J152" s="73"/>
      <c r="K152" s="73"/>
      <c r="L152" s="73"/>
      <c r="M152" s="73"/>
      <c r="N152" s="73"/>
      <c r="O152" s="73"/>
      <c r="P152" s="73"/>
      <c r="Q152" s="73"/>
      <c r="R152" s="73"/>
      <c r="S152" s="73"/>
      <c r="T152" s="73"/>
      <c r="U152" s="74"/>
    </row>
    <row r="153" spans="2:21" s="15" customFormat="1" x14ac:dyDescent="0.25">
      <c r="B153" s="72" t="s">
        <v>3167</v>
      </c>
      <c r="C153" s="73"/>
      <c r="D153" s="73"/>
      <c r="E153" s="73"/>
      <c r="F153" s="73"/>
      <c r="G153" s="73"/>
      <c r="H153" s="73"/>
      <c r="I153" s="73"/>
      <c r="J153" s="73"/>
      <c r="K153" s="73"/>
      <c r="L153" s="73"/>
      <c r="M153" s="73"/>
      <c r="N153" s="73"/>
      <c r="O153" s="73"/>
      <c r="P153" s="73"/>
      <c r="Q153" s="73"/>
      <c r="R153" s="73"/>
      <c r="S153" s="73"/>
      <c r="T153" s="73"/>
      <c r="U153" s="74"/>
    </row>
    <row r="154" spans="2:21" s="15" customFormat="1" x14ac:dyDescent="0.25">
      <c r="B154" s="72" t="s">
        <v>3168</v>
      </c>
      <c r="C154" s="73"/>
      <c r="D154" s="73"/>
      <c r="E154" s="73"/>
      <c r="F154" s="73"/>
      <c r="G154" s="73"/>
      <c r="H154" s="73"/>
      <c r="I154" s="73"/>
      <c r="J154" s="73"/>
      <c r="K154" s="73"/>
      <c r="L154" s="73"/>
      <c r="M154" s="73"/>
      <c r="N154" s="73"/>
      <c r="O154" s="73"/>
      <c r="P154" s="73"/>
      <c r="Q154" s="73"/>
      <c r="R154" s="73"/>
      <c r="S154" s="73"/>
      <c r="T154" s="73"/>
      <c r="U154" s="74"/>
    </row>
    <row r="155" spans="2:21" s="15" customFormat="1" x14ac:dyDescent="0.25">
      <c r="B155" s="72" t="s">
        <v>3169</v>
      </c>
      <c r="C155" s="73"/>
      <c r="D155" s="73"/>
      <c r="E155" s="73"/>
      <c r="F155" s="73"/>
      <c r="G155" s="73"/>
      <c r="H155" s="73"/>
      <c r="I155" s="73"/>
      <c r="J155" s="73"/>
      <c r="K155" s="73"/>
      <c r="L155" s="73"/>
      <c r="M155" s="73"/>
      <c r="N155" s="73"/>
      <c r="O155" s="73"/>
      <c r="P155" s="73"/>
      <c r="Q155" s="73"/>
      <c r="R155" s="73"/>
      <c r="S155" s="73"/>
      <c r="T155" s="73"/>
      <c r="U155" s="74"/>
    </row>
    <row r="156" spans="2:21" s="15" customFormat="1" x14ac:dyDescent="0.25">
      <c r="B156" s="72" t="s">
        <v>3170</v>
      </c>
      <c r="C156" s="73"/>
      <c r="D156" s="73"/>
      <c r="E156" s="73"/>
      <c r="F156" s="73"/>
      <c r="G156" s="73"/>
      <c r="H156" s="73"/>
      <c r="I156" s="73"/>
      <c r="J156" s="73"/>
      <c r="K156" s="73"/>
      <c r="L156" s="73"/>
      <c r="M156" s="73"/>
      <c r="N156" s="73"/>
      <c r="O156" s="73"/>
      <c r="P156" s="73"/>
      <c r="Q156" s="73"/>
      <c r="R156" s="73"/>
      <c r="S156" s="73"/>
      <c r="T156" s="73"/>
      <c r="U156" s="74"/>
    </row>
    <row r="157" spans="2:21" s="15" customFormat="1" x14ac:dyDescent="0.25">
      <c r="B157" s="72" t="s">
        <v>3284</v>
      </c>
      <c r="C157" s="73"/>
      <c r="D157" s="73"/>
      <c r="E157" s="73"/>
      <c r="F157" s="73"/>
      <c r="G157" s="73"/>
      <c r="H157" s="73"/>
      <c r="I157" s="73"/>
      <c r="J157" s="73"/>
      <c r="K157" s="73"/>
      <c r="L157" s="73"/>
      <c r="M157" s="73"/>
      <c r="N157" s="73"/>
      <c r="O157" s="73"/>
      <c r="P157" s="73"/>
      <c r="Q157" s="73"/>
      <c r="R157" s="73"/>
      <c r="S157" s="73"/>
      <c r="T157" s="73"/>
      <c r="U157" s="74"/>
    </row>
    <row r="158" spans="2:21" s="15" customFormat="1" x14ac:dyDescent="0.25">
      <c r="B158" s="72" t="s">
        <v>3172</v>
      </c>
      <c r="C158" s="73"/>
      <c r="D158" s="73"/>
      <c r="E158" s="73"/>
      <c r="F158" s="73"/>
      <c r="G158" s="73"/>
      <c r="H158" s="73"/>
      <c r="I158" s="73"/>
      <c r="J158" s="73"/>
      <c r="K158" s="73"/>
      <c r="L158" s="73"/>
      <c r="M158" s="73"/>
      <c r="N158" s="73"/>
      <c r="O158" s="73"/>
      <c r="P158" s="73"/>
      <c r="Q158" s="73"/>
      <c r="R158" s="73"/>
      <c r="S158" s="73"/>
      <c r="T158" s="73"/>
      <c r="U158" s="74"/>
    </row>
    <row r="159" spans="2:21" s="15" customFormat="1" x14ac:dyDescent="0.25">
      <c r="B159" s="72" t="s">
        <v>3285</v>
      </c>
      <c r="C159" s="73"/>
      <c r="D159" s="73"/>
      <c r="E159" s="73"/>
      <c r="F159" s="73"/>
      <c r="G159" s="73"/>
      <c r="H159" s="73"/>
      <c r="I159" s="73"/>
      <c r="J159" s="73"/>
      <c r="K159" s="73"/>
      <c r="L159" s="73"/>
      <c r="M159" s="73"/>
      <c r="N159" s="73"/>
      <c r="O159" s="73"/>
      <c r="P159" s="73"/>
      <c r="Q159" s="73"/>
      <c r="R159" s="73"/>
      <c r="S159" s="73"/>
      <c r="T159" s="73"/>
      <c r="U159" s="74"/>
    </row>
    <row r="160" spans="2:21" s="15" customFormat="1" x14ac:dyDescent="0.25">
      <c r="B160" s="72" t="s">
        <v>3391</v>
      </c>
      <c r="C160" s="73"/>
      <c r="D160" s="73"/>
      <c r="E160" s="73"/>
      <c r="F160" s="73"/>
      <c r="G160" s="73"/>
      <c r="H160" s="73"/>
      <c r="I160" s="73"/>
      <c r="J160" s="73"/>
      <c r="K160" s="73"/>
      <c r="L160" s="73"/>
      <c r="M160" s="73"/>
      <c r="N160" s="73"/>
      <c r="O160" s="73"/>
      <c r="P160" s="73"/>
      <c r="Q160" s="73"/>
      <c r="R160" s="73"/>
      <c r="S160" s="73"/>
      <c r="T160" s="73"/>
      <c r="U160" s="74"/>
    </row>
    <row r="161" spans="2:21" s="15" customFormat="1" x14ac:dyDescent="0.25">
      <c r="B161" s="72" t="s">
        <v>3287</v>
      </c>
      <c r="C161" s="73"/>
      <c r="D161" s="73"/>
      <c r="E161" s="73"/>
      <c r="F161" s="73"/>
      <c r="G161" s="73"/>
      <c r="H161" s="73"/>
      <c r="I161" s="73"/>
      <c r="J161" s="73"/>
      <c r="K161" s="73"/>
      <c r="L161" s="73"/>
      <c r="M161" s="73"/>
      <c r="N161" s="73"/>
      <c r="O161" s="73"/>
      <c r="P161" s="73"/>
      <c r="Q161" s="73"/>
      <c r="R161" s="73"/>
      <c r="S161" s="73"/>
      <c r="T161" s="73"/>
      <c r="U161" s="74"/>
    </row>
    <row r="162" spans="2:21" s="15" customFormat="1" x14ac:dyDescent="0.25">
      <c r="B162" s="72" t="s">
        <v>3176</v>
      </c>
      <c r="C162" s="73"/>
      <c r="D162" s="73"/>
      <c r="E162" s="73"/>
      <c r="F162" s="73"/>
      <c r="G162" s="73"/>
      <c r="H162" s="73"/>
      <c r="I162" s="73"/>
      <c r="J162" s="73"/>
      <c r="K162" s="73"/>
      <c r="L162" s="73"/>
      <c r="M162" s="73"/>
      <c r="N162" s="73"/>
      <c r="O162" s="73"/>
      <c r="P162" s="73"/>
      <c r="Q162" s="73"/>
      <c r="R162" s="73"/>
      <c r="S162" s="73"/>
      <c r="T162" s="73"/>
      <c r="U162" s="74"/>
    </row>
    <row r="163" spans="2:21" s="15" customFormat="1" x14ac:dyDescent="0.25">
      <c r="B163" s="72" t="s">
        <v>3288</v>
      </c>
      <c r="C163" s="73"/>
      <c r="D163" s="73"/>
      <c r="E163" s="73"/>
      <c r="F163" s="73"/>
      <c r="G163" s="73"/>
      <c r="H163" s="73"/>
      <c r="I163" s="73"/>
      <c r="J163" s="73"/>
      <c r="K163" s="73"/>
      <c r="L163" s="73"/>
      <c r="M163" s="73"/>
      <c r="N163" s="73"/>
      <c r="O163" s="73"/>
      <c r="P163" s="73"/>
      <c r="Q163" s="73"/>
      <c r="R163" s="73"/>
      <c r="S163" s="73"/>
      <c r="T163" s="73"/>
      <c r="U163" s="74"/>
    </row>
    <row r="164" spans="2:21" s="15" customFormat="1" x14ac:dyDescent="0.25">
      <c r="B164" s="72" t="s">
        <v>3289</v>
      </c>
      <c r="C164" s="73"/>
      <c r="D164" s="73"/>
      <c r="E164" s="73"/>
      <c r="F164" s="73"/>
      <c r="G164" s="73"/>
      <c r="H164" s="73"/>
      <c r="I164" s="73"/>
      <c r="J164" s="73"/>
      <c r="K164" s="73"/>
      <c r="L164" s="73"/>
      <c r="M164" s="73"/>
      <c r="N164" s="73"/>
      <c r="O164" s="73"/>
      <c r="P164" s="73"/>
      <c r="Q164" s="73"/>
      <c r="R164" s="73"/>
      <c r="S164" s="73"/>
      <c r="T164" s="73"/>
      <c r="U164" s="74"/>
    </row>
    <row r="165" spans="2:21" s="15" customFormat="1" x14ac:dyDescent="0.25">
      <c r="B165" s="72" t="s">
        <v>3179</v>
      </c>
      <c r="C165" s="73"/>
      <c r="D165" s="73"/>
      <c r="E165" s="73"/>
      <c r="F165" s="73"/>
      <c r="G165" s="73"/>
      <c r="H165" s="73"/>
      <c r="I165" s="73"/>
      <c r="J165" s="73"/>
      <c r="K165" s="73"/>
      <c r="L165" s="73"/>
      <c r="M165" s="73"/>
      <c r="N165" s="73"/>
      <c r="O165" s="73"/>
      <c r="P165" s="73"/>
      <c r="Q165" s="73"/>
      <c r="R165" s="73"/>
      <c r="S165" s="73"/>
      <c r="T165" s="73"/>
      <c r="U165" s="74"/>
    </row>
    <row r="166" spans="2:21" s="15" customFormat="1" x14ac:dyDescent="0.25">
      <c r="B166" s="72" t="s">
        <v>3180</v>
      </c>
      <c r="C166" s="73"/>
      <c r="D166" s="73"/>
      <c r="E166" s="73"/>
      <c r="F166" s="73"/>
      <c r="G166" s="73"/>
      <c r="H166" s="73"/>
      <c r="I166" s="73"/>
      <c r="J166" s="73"/>
      <c r="K166" s="73"/>
      <c r="L166" s="73"/>
      <c r="M166" s="73"/>
      <c r="N166" s="73"/>
      <c r="O166" s="73"/>
      <c r="P166" s="73"/>
      <c r="Q166" s="73"/>
      <c r="R166" s="73"/>
      <c r="S166" s="73"/>
      <c r="T166" s="73"/>
      <c r="U166" s="74"/>
    </row>
    <row r="167" spans="2:21" s="15" customFormat="1" x14ac:dyDescent="0.25">
      <c r="B167" s="72" t="s">
        <v>3181</v>
      </c>
      <c r="C167" s="73"/>
      <c r="D167" s="73"/>
      <c r="E167" s="73"/>
      <c r="F167" s="73"/>
      <c r="G167" s="73"/>
      <c r="H167" s="73"/>
      <c r="I167" s="73"/>
      <c r="J167" s="73"/>
      <c r="K167" s="73"/>
      <c r="L167" s="73"/>
      <c r="M167" s="73"/>
      <c r="N167" s="73"/>
      <c r="O167" s="73"/>
      <c r="P167" s="73"/>
      <c r="Q167" s="73"/>
      <c r="R167" s="73"/>
      <c r="S167" s="73"/>
      <c r="T167" s="73"/>
      <c r="U167" s="74"/>
    </row>
    <row r="168" spans="2:21" s="15" customFormat="1" x14ac:dyDescent="0.25">
      <c r="B168" s="72" t="s">
        <v>3085</v>
      </c>
      <c r="C168" s="73"/>
      <c r="D168" s="73"/>
      <c r="E168" s="73"/>
      <c r="F168" s="73"/>
      <c r="G168" s="73"/>
      <c r="H168" s="73"/>
      <c r="I168" s="73"/>
      <c r="J168" s="73"/>
      <c r="K168" s="73"/>
      <c r="L168" s="73"/>
      <c r="M168" s="73"/>
      <c r="N168" s="73"/>
      <c r="O168" s="73"/>
      <c r="P168" s="73"/>
      <c r="Q168" s="73"/>
      <c r="R168" s="73"/>
      <c r="S168" s="73"/>
      <c r="T168" s="73"/>
      <c r="U168" s="74"/>
    </row>
    <row r="169" spans="2:21" s="15" customFormat="1" x14ac:dyDescent="0.25">
      <c r="B169" s="72" t="s">
        <v>3531</v>
      </c>
      <c r="C169" s="73"/>
      <c r="D169" s="73"/>
      <c r="E169" s="73"/>
      <c r="F169" s="73"/>
      <c r="G169" s="73"/>
      <c r="H169" s="73"/>
      <c r="I169" s="73"/>
      <c r="J169" s="73"/>
      <c r="K169" s="73"/>
      <c r="L169" s="73"/>
      <c r="M169" s="73"/>
      <c r="N169" s="73"/>
      <c r="O169" s="73"/>
      <c r="P169" s="73"/>
      <c r="Q169" s="73"/>
      <c r="R169" s="73"/>
      <c r="S169" s="73"/>
      <c r="T169" s="73"/>
      <c r="U169" s="74"/>
    </row>
    <row r="170" spans="2:21" s="15" customFormat="1" x14ac:dyDescent="0.25">
      <c r="B170" s="72" t="s">
        <v>3183</v>
      </c>
      <c r="C170" s="73"/>
      <c r="D170" s="73"/>
      <c r="E170" s="73"/>
      <c r="F170" s="73"/>
      <c r="G170" s="73"/>
      <c r="H170" s="73"/>
      <c r="I170" s="73"/>
      <c r="J170" s="73"/>
      <c r="K170" s="73"/>
      <c r="L170" s="73"/>
      <c r="M170" s="73"/>
      <c r="N170" s="73"/>
      <c r="O170" s="73"/>
      <c r="P170" s="73"/>
      <c r="Q170" s="73"/>
      <c r="R170" s="73"/>
      <c r="S170" s="73"/>
      <c r="T170" s="73"/>
      <c r="U170" s="74"/>
    </row>
    <row r="171" spans="2:21" s="15" customFormat="1" x14ac:dyDescent="0.25">
      <c r="B171" s="72" t="s">
        <v>3168</v>
      </c>
      <c r="C171" s="73"/>
      <c r="D171" s="73"/>
      <c r="E171" s="73"/>
      <c r="F171" s="73"/>
      <c r="G171" s="73"/>
      <c r="H171" s="73"/>
      <c r="I171" s="73"/>
      <c r="J171" s="73"/>
      <c r="K171" s="73"/>
      <c r="L171" s="73"/>
      <c r="M171" s="73"/>
      <c r="N171" s="73"/>
      <c r="O171" s="73"/>
      <c r="P171" s="73"/>
      <c r="Q171" s="73"/>
      <c r="R171" s="73"/>
      <c r="S171" s="73"/>
      <c r="T171" s="73"/>
      <c r="U171" s="74"/>
    </row>
    <row r="172" spans="2:21" s="15" customFormat="1" x14ac:dyDescent="0.25">
      <c r="B172" s="72" t="s">
        <v>3169</v>
      </c>
      <c r="C172" s="73"/>
      <c r="D172" s="73"/>
      <c r="E172" s="73"/>
      <c r="F172" s="73"/>
      <c r="G172" s="73"/>
      <c r="H172" s="73"/>
      <c r="I172" s="73"/>
      <c r="J172" s="73"/>
      <c r="K172" s="73"/>
      <c r="L172" s="73"/>
      <c r="M172" s="73"/>
      <c r="N172" s="73"/>
      <c r="O172" s="73"/>
      <c r="P172" s="73"/>
      <c r="Q172" s="73"/>
      <c r="R172" s="73"/>
      <c r="S172" s="73"/>
      <c r="T172" s="73"/>
      <c r="U172" s="74"/>
    </row>
    <row r="173" spans="2:21" s="15" customFormat="1" x14ac:dyDescent="0.25">
      <c r="B173" s="72" t="s">
        <v>3170</v>
      </c>
      <c r="C173" s="73"/>
      <c r="D173" s="73"/>
      <c r="E173" s="73"/>
      <c r="F173" s="73"/>
      <c r="G173" s="73"/>
      <c r="H173" s="73"/>
      <c r="I173" s="73"/>
      <c r="J173" s="73"/>
      <c r="K173" s="73"/>
      <c r="L173" s="73"/>
      <c r="M173" s="73"/>
      <c r="N173" s="73"/>
      <c r="O173" s="73"/>
      <c r="P173" s="73"/>
      <c r="Q173" s="73"/>
      <c r="R173" s="73"/>
      <c r="S173" s="73"/>
      <c r="T173" s="73"/>
      <c r="U173" s="74"/>
    </row>
    <row r="174" spans="2:21" s="15" customFormat="1" x14ac:dyDescent="0.25">
      <c r="B174" s="72" t="s">
        <v>3530</v>
      </c>
      <c r="C174" s="73"/>
      <c r="D174" s="73"/>
      <c r="E174" s="73"/>
      <c r="F174" s="73"/>
      <c r="G174" s="73"/>
      <c r="H174" s="73"/>
      <c r="I174" s="73"/>
      <c r="J174" s="73"/>
      <c r="K174" s="73"/>
      <c r="L174" s="73"/>
      <c r="M174" s="73"/>
      <c r="N174" s="73"/>
      <c r="O174" s="73"/>
      <c r="P174" s="73"/>
      <c r="Q174" s="73"/>
      <c r="R174" s="73"/>
      <c r="S174" s="73"/>
      <c r="T174" s="73"/>
      <c r="U174" s="74"/>
    </row>
    <row r="175" spans="2:21" s="15" customFormat="1" x14ac:dyDescent="0.25">
      <c r="B175" s="72" t="s">
        <v>3172</v>
      </c>
      <c r="C175" s="73"/>
      <c r="D175" s="73"/>
      <c r="E175" s="73"/>
      <c r="F175" s="73"/>
      <c r="G175" s="73"/>
      <c r="H175" s="73"/>
      <c r="I175" s="73"/>
      <c r="J175" s="73"/>
      <c r="K175" s="73"/>
      <c r="L175" s="73"/>
      <c r="M175" s="73"/>
      <c r="N175" s="73"/>
      <c r="O175" s="73"/>
      <c r="P175" s="73"/>
      <c r="Q175" s="73"/>
      <c r="R175" s="73"/>
      <c r="S175" s="73"/>
      <c r="T175" s="73"/>
      <c r="U175" s="74"/>
    </row>
    <row r="176" spans="2:21" s="15" customFormat="1" x14ac:dyDescent="0.25">
      <c r="B176" s="72" t="s">
        <v>3285</v>
      </c>
      <c r="C176" s="73"/>
      <c r="D176" s="73"/>
      <c r="E176" s="73"/>
      <c r="F176" s="73"/>
      <c r="G176" s="73"/>
      <c r="H176" s="73"/>
      <c r="I176" s="73"/>
      <c r="J176" s="73"/>
      <c r="K176" s="73"/>
      <c r="L176" s="73"/>
      <c r="M176" s="73"/>
      <c r="N176" s="73"/>
      <c r="O176" s="73"/>
      <c r="P176" s="73"/>
      <c r="Q176" s="73"/>
      <c r="R176" s="73"/>
      <c r="S176" s="73"/>
      <c r="T176" s="73"/>
      <c r="U176" s="74"/>
    </row>
    <row r="177" spans="2:21" s="15" customFormat="1" x14ac:dyDescent="0.25">
      <c r="B177" s="72" t="s">
        <v>3286</v>
      </c>
      <c r="C177" s="73"/>
      <c r="D177" s="73"/>
      <c r="E177" s="73"/>
      <c r="F177" s="73"/>
      <c r="G177" s="73"/>
      <c r="H177" s="73"/>
      <c r="I177" s="73"/>
      <c r="J177" s="73"/>
      <c r="K177" s="73"/>
      <c r="L177" s="73"/>
      <c r="M177" s="73"/>
      <c r="N177" s="73"/>
      <c r="O177" s="73"/>
      <c r="P177" s="73"/>
      <c r="Q177" s="73"/>
      <c r="R177" s="73"/>
      <c r="S177" s="73"/>
      <c r="T177" s="73"/>
      <c r="U177" s="74"/>
    </row>
    <row r="178" spans="2:21" s="15" customFormat="1" x14ac:dyDescent="0.25">
      <c r="B178" s="72" t="s">
        <v>3175</v>
      </c>
      <c r="C178" s="73"/>
      <c r="D178" s="73"/>
      <c r="E178" s="73"/>
      <c r="F178" s="73"/>
      <c r="G178" s="73"/>
      <c r="H178" s="73"/>
      <c r="I178" s="73"/>
      <c r="J178" s="73"/>
      <c r="K178" s="73"/>
      <c r="L178" s="73"/>
      <c r="M178" s="73"/>
      <c r="N178" s="73"/>
      <c r="O178" s="73"/>
      <c r="P178" s="73"/>
      <c r="Q178" s="73"/>
      <c r="R178" s="73"/>
      <c r="S178" s="73"/>
      <c r="T178" s="73"/>
      <c r="U178" s="74"/>
    </row>
    <row r="179" spans="2:21" s="15" customFormat="1" x14ac:dyDescent="0.25">
      <c r="B179" s="72" t="s">
        <v>3176</v>
      </c>
      <c r="C179" s="73"/>
      <c r="D179" s="73"/>
      <c r="E179" s="73"/>
      <c r="F179" s="73"/>
      <c r="G179" s="73"/>
      <c r="H179" s="73"/>
      <c r="I179" s="73"/>
      <c r="J179" s="73"/>
      <c r="K179" s="73"/>
      <c r="L179" s="73"/>
      <c r="M179" s="73"/>
      <c r="N179" s="73"/>
      <c r="O179" s="73"/>
      <c r="P179" s="73"/>
      <c r="Q179" s="73"/>
      <c r="R179" s="73"/>
      <c r="S179" s="73"/>
      <c r="T179" s="73"/>
      <c r="U179" s="74"/>
    </row>
    <row r="180" spans="2:21" s="15" customFormat="1" x14ac:dyDescent="0.25">
      <c r="B180" s="72" t="s">
        <v>3288</v>
      </c>
      <c r="C180" s="73"/>
      <c r="D180" s="73"/>
      <c r="E180" s="73"/>
      <c r="F180" s="73"/>
      <c r="G180" s="73"/>
      <c r="H180" s="73"/>
      <c r="I180" s="73"/>
      <c r="J180" s="73"/>
      <c r="K180" s="73"/>
      <c r="L180" s="73"/>
      <c r="M180" s="73"/>
      <c r="N180" s="73"/>
      <c r="O180" s="73"/>
      <c r="P180" s="73"/>
      <c r="Q180" s="73"/>
      <c r="R180" s="73"/>
      <c r="S180" s="73"/>
      <c r="T180" s="73"/>
      <c r="U180" s="74"/>
    </row>
    <row r="181" spans="2:21" s="15" customFormat="1" x14ac:dyDescent="0.25">
      <c r="B181" s="72" t="s">
        <v>3289</v>
      </c>
      <c r="C181" s="73"/>
      <c r="D181" s="73"/>
      <c r="E181" s="73"/>
      <c r="F181" s="73"/>
      <c r="G181" s="73"/>
      <c r="H181" s="73"/>
      <c r="I181" s="73"/>
      <c r="J181" s="73"/>
      <c r="K181" s="73"/>
      <c r="L181" s="73"/>
      <c r="M181" s="73"/>
      <c r="N181" s="73"/>
      <c r="O181" s="73"/>
      <c r="P181" s="73"/>
      <c r="Q181" s="73"/>
      <c r="R181" s="73"/>
      <c r="S181" s="73"/>
      <c r="T181" s="73"/>
      <c r="U181" s="74"/>
    </row>
    <row r="182" spans="2:21" s="15" customFormat="1" x14ac:dyDescent="0.25">
      <c r="B182" s="72" t="s">
        <v>3179</v>
      </c>
      <c r="C182" s="73"/>
      <c r="D182" s="73"/>
      <c r="E182" s="73"/>
      <c r="F182" s="73"/>
      <c r="G182" s="73"/>
      <c r="H182" s="73"/>
      <c r="I182" s="73"/>
      <c r="J182" s="73"/>
      <c r="K182" s="73"/>
      <c r="L182" s="73"/>
      <c r="M182" s="73"/>
      <c r="N182" s="73"/>
      <c r="O182" s="73"/>
      <c r="P182" s="73"/>
      <c r="Q182" s="73"/>
      <c r="R182" s="73"/>
      <c r="S182" s="73"/>
      <c r="T182" s="73"/>
      <c r="U182" s="74"/>
    </row>
    <row r="183" spans="2:21" s="15" customFormat="1" x14ac:dyDescent="0.25">
      <c r="B183" s="72" t="s">
        <v>3180</v>
      </c>
      <c r="C183" s="73"/>
      <c r="D183" s="73"/>
      <c r="E183" s="73"/>
      <c r="F183" s="73"/>
      <c r="G183" s="73"/>
      <c r="H183" s="73"/>
      <c r="I183" s="73"/>
      <c r="J183" s="73"/>
      <c r="K183" s="73"/>
      <c r="L183" s="73"/>
      <c r="M183" s="73"/>
      <c r="N183" s="73"/>
      <c r="O183" s="73"/>
      <c r="P183" s="73"/>
      <c r="Q183" s="73"/>
      <c r="R183" s="73"/>
      <c r="S183" s="73"/>
      <c r="T183" s="73"/>
      <c r="U183" s="74"/>
    </row>
    <row r="184" spans="2:21" s="15" customFormat="1" x14ac:dyDescent="0.25">
      <c r="B184" s="72" t="s">
        <v>3083</v>
      </c>
      <c r="C184" s="73"/>
      <c r="D184" s="73"/>
      <c r="E184" s="73"/>
      <c r="F184" s="73"/>
      <c r="G184" s="73"/>
      <c r="H184" s="73"/>
      <c r="I184" s="73"/>
      <c r="J184" s="73"/>
      <c r="K184" s="73"/>
      <c r="L184" s="73"/>
      <c r="M184" s="73"/>
      <c r="N184" s="73"/>
      <c r="O184" s="73"/>
      <c r="P184" s="73"/>
      <c r="Q184" s="73"/>
      <c r="R184" s="73"/>
      <c r="S184" s="73"/>
      <c r="T184" s="73"/>
      <c r="U184" s="74"/>
    </row>
    <row r="185" spans="2:21" s="15" customFormat="1" x14ac:dyDescent="0.25">
      <c r="B185" s="72" t="s">
        <v>3093</v>
      </c>
      <c r="C185" s="73"/>
      <c r="D185" s="73"/>
      <c r="E185" s="73"/>
      <c r="F185" s="73"/>
      <c r="G185" s="73"/>
      <c r="H185" s="73"/>
      <c r="I185" s="73"/>
      <c r="J185" s="73"/>
      <c r="K185" s="73"/>
      <c r="L185" s="73"/>
      <c r="M185" s="73"/>
      <c r="N185" s="73"/>
      <c r="O185" s="73"/>
      <c r="P185" s="73"/>
      <c r="Q185" s="73"/>
      <c r="R185" s="73"/>
      <c r="S185" s="73"/>
      <c r="T185" s="73"/>
      <c r="U185" s="74"/>
    </row>
    <row r="186" spans="2:21" s="15" customFormat="1" x14ac:dyDescent="0.25">
      <c r="B186" s="72" t="s">
        <v>3195</v>
      </c>
      <c r="C186" s="73"/>
      <c r="D186" s="73"/>
      <c r="E186" s="73"/>
      <c r="F186" s="73"/>
      <c r="G186" s="73"/>
      <c r="H186" s="73"/>
      <c r="I186" s="73"/>
      <c r="J186" s="73"/>
      <c r="K186" s="73"/>
      <c r="L186" s="73"/>
      <c r="M186" s="73"/>
      <c r="N186" s="73"/>
      <c r="O186" s="73"/>
      <c r="P186" s="73"/>
      <c r="Q186" s="73"/>
      <c r="R186" s="73"/>
      <c r="S186" s="73"/>
      <c r="T186" s="73"/>
      <c r="U186" s="74"/>
    </row>
    <row r="187" spans="2:21" s="15" customFormat="1" x14ac:dyDescent="0.25">
      <c r="B187" s="72" t="s">
        <v>3085</v>
      </c>
      <c r="C187" s="73"/>
      <c r="D187" s="73"/>
      <c r="E187" s="73"/>
      <c r="F187" s="73"/>
      <c r="G187" s="73"/>
      <c r="H187" s="73"/>
      <c r="I187" s="73"/>
      <c r="J187" s="73"/>
      <c r="K187" s="73"/>
      <c r="L187" s="73"/>
      <c r="M187" s="73"/>
      <c r="N187" s="73"/>
      <c r="O187" s="73"/>
      <c r="P187" s="73"/>
      <c r="Q187" s="73"/>
      <c r="R187" s="73"/>
      <c r="S187" s="73"/>
      <c r="T187" s="73"/>
      <c r="U187" s="74"/>
    </row>
    <row r="188" spans="2:21" s="15" customFormat="1" x14ac:dyDescent="0.25">
      <c r="B188" s="72" t="s">
        <v>3532</v>
      </c>
      <c r="C188" s="73"/>
      <c r="D188" s="73"/>
      <c r="E188" s="73"/>
      <c r="F188" s="73"/>
      <c r="G188" s="73"/>
      <c r="H188" s="73"/>
      <c r="I188" s="73"/>
      <c r="J188" s="73"/>
      <c r="K188" s="73"/>
      <c r="L188" s="73"/>
      <c r="M188" s="73"/>
      <c r="N188" s="73"/>
      <c r="O188" s="73"/>
      <c r="P188" s="73"/>
      <c r="Q188" s="73"/>
      <c r="R188" s="73"/>
      <c r="S188" s="73"/>
      <c r="T188" s="73"/>
      <c r="U188" s="74"/>
    </row>
    <row r="189" spans="2:21" s="15" customFormat="1" x14ac:dyDescent="0.25">
      <c r="B189" s="72" t="s">
        <v>3533</v>
      </c>
      <c r="C189" s="73"/>
      <c r="D189" s="73"/>
      <c r="E189" s="73"/>
      <c r="F189" s="73"/>
      <c r="G189" s="73"/>
      <c r="H189" s="73"/>
      <c r="I189" s="73"/>
      <c r="J189" s="73"/>
      <c r="K189" s="73"/>
      <c r="L189" s="73"/>
      <c r="M189" s="73"/>
      <c r="N189" s="73"/>
      <c r="O189" s="73"/>
      <c r="P189" s="73"/>
      <c r="Q189" s="73"/>
      <c r="R189" s="73"/>
      <c r="S189" s="73"/>
      <c r="T189" s="73"/>
      <c r="U189" s="74"/>
    </row>
    <row r="190" spans="2:21" s="15" customFormat="1" x14ac:dyDescent="0.25">
      <c r="B190" s="72" t="s">
        <v>3306</v>
      </c>
      <c r="C190" s="73"/>
      <c r="D190" s="73"/>
      <c r="E190" s="73"/>
      <c r="F190" s="73"/>
      <c r="G190" s="73"/>
      <c r="H190" s="73"/>
      <c r="I190" s="73"/>
      <c r="J190" s="73"/>
      <c r="K190" s="73"/>
      <c r="L190" s="73"/>
      <c r="M190" s="73"/>
      <c r="N190" s="73"/>
      <c r="O190" s="73"/>
      <c r="P190" s="73"/>
      <c r="Q190" s="73"/>
      <c r="R190" s="73"/>
      <c r="S190" s="73"/>
      <c r="T190" s="73"/>
      <c r="U190" s="74"/>
    </row>
    <row r="191" spans="2:21" s="15" customFormat="1" x14ac:dyDescent="0.25">
      <c r="B191" s="72" t="s">
        <v>3404</v>
      </c>
      <c r="C191" s="73"/>
      <c r="D191" s="73"/>
      <c r="E191" s="73"/>
      <c r="F191" s="73"/>
      <c r="G191" s="73"/>
      <c r="H191" s="73"/>
      <c r="I191" s="73"/>
      <c r="J191" s="73"/>
      <c r="K191" s="73"/>
      <c r="L191" s="73"/>
      <c r="M191" s="73"/>
      <c r="N191" s="73"/>
      <c r="O191" s="73"/>
      <c r="P191" s="73"/>
      <c r="Q191" s="73"/>
      <c r="R191" s="73"/>
      <c r="S191" s="73"/>
      <c r="T191" s="73"/>
      <c r="U191" s="74"/>
    </row>
    <row r="192" spans="2:21" s="15" customFormat="1" x14ac:dyDescent="0.25">
      <c r="B192" s="72" t="s">
        <v>3181</v>
      </c>
      <c r="C192" s="73"/>
      <c r="D192" s="73"/>
      <c r="E192" s="73"/>
      <c r="F192" s="73"/>
      <c r="G192" s="73"/>
      <c r="H192" s="73"/>
      <c r="I192" s="73"/>
      <c r="J192" s="73"/>
      <c r="K192" s="73"/>
      <c r="L192" s="73"/>
      <c r="M192" s="73"/>
      <c r="N192" s="73"/>
      <c r="O192" s="73"/>
      <c r="P192" s="73"/>
      <c r="Q192" s="73"/>
      <c r="R192" s="73"/>
      <c r="S192" s="73"/>
      <c r="T192" s="73"/>
      <c r="U192" s="74"/>
    </row>
    <row r="193" spans="2:21" s="15" customFormat="1" x14ac:dyDescent="0.25">
      <c r="B193" s="72" t="s">
        <v>3085</v>
      </c>
      <c r="C193" s="73"/>
      <c r="D193" s="73"/>
      <c r="E193" s="73"/>
      <c r="F193" s="73"/>
      <c r="G193" s="73"/>
      <c r="H193" s="73"/>
      <c r="I193" s="73"/>
      <c r="J193" s="73"/>
      <c r="K193" s="73"/>
      <c r="L193" s="73"/>
      <c r="M193" s="73"/>
      <c r="N193" s="73"/>
      <c r="O193" s="73"/>
      <c r="P193" s="73"/>
      <c r="Q193" s="73"/>
      <c r="R193" s="73"/>
      <c r="S193" s="73"/>
      <c r="T193" s="73"/>
      <c r="U193" s="74"/>
    </row>
    <row r="194" spans="2:21" s="15" customFormat="1" x14ac:dyDescent="0.25">
      <c r="B194" s="72" t="s">
        <v>3532</v>
      </c>
      <c r="C194" s="73"/>
      <c r="D194" s="73"/>
      <c r="E194" s="73"/>
      <c r="F194" s="73"/>
      <c r="G194" s="73"/>
      <c r="H194" s="73"/>
      <c r="I194" s="73"/>
      <c r="J194" s="73"/>
      <c r="K194" s="73"/>
      <c r="L194" s="73"/>
      <c r="M194" s="73"/>
      <c r="N194" s="73"/>
      <c r="O194" s="73"/>
      <c r="P194" s="73"/>
      <c r="Q194" s="73"/>
      <c r="R194" s="73"/>
      <c r="S194" s="73"/>
      <c r="T194" s="73"/>
      <c r="U194" s="74"/>
    </row>
    <row r="195" spans="2:21" s="15" customFormat="1" x14ac:dyDescent="0.25">
      <c r="B195" s="72" t="s">
        <v>3534</v>
      </c>
      <c r="C195" s="73"/>
      <c r="D195" s="73"/>
      <c r="E195" s="73"/>
      <c r="F195" s="73"/>
      <c r="G195" s="73"/>
      <c r="H195" s="73"/>
      <c r="I195" s="73"/>
      <c r="J195" s="73"/>
      <c r="K195" s="73"/>
      <c r="L195" s="73"/>
      <c r="M195" s="73"/>
      <c r="N195" s="73"/>
      <c r="O195" s="73"/>
      <c r="P195" s="73"/>
      <c r="Q195" s="73"/>
      <c r="R195" s="73"/>
      <c r="S195" s="73"/>
      <c r="T195" s="73"/>
      <c r="U195" s="74"/>
    </row>
    <row r="196" spans="2:21" s="15" customFormat="1" x14ac:dyDescent="0.25">
      <c r="B196" s="72" t="s">
        <v>3312</v>
      </c>
      <c r="C196" s="73"/>
      <c r="D196" s="73"/>
      <c r="E196" s="73"/>
      <c r="F196" s="73"/>
      <c r="G196" s="73"/>
      <c r="H196" s="73"/>
      <c r="I196" s="73"/>
      <c r="J196" s="73"/>
      <c r="K196" s="73"/>
      <c r="L196" s="73"/>
      <c r="M196" s="73"/>
      <c r="N196" s="73"/>
      <c r="O196" s="73"/>
      <c r="P196" s="73"/>
      <c r="Q196" s="73"/>
      <c r="R196" s="73"/>
      <c r="S196" s="73"/>
      <c r="T196" s="73"/>
      <c r="U196" s="74"/>
    </row>
    <row r="197" spans="2:21" s="15" customFormat="1" x14ac:dyDescent="0.25">
      <c r="B197" s="72" t="s">
        <v>3313</v>
      </c>
      <c r="C197" s="73"/>
      <c r="D197" s="73"/>
      <c r="E197" s="73"/>
      <c r="F197" s="73"/>
      <c r="G197" s="73"/>
      <c r="H197" s="73"/>
      <c r="I197" s="73"/>
      <c r="J197" s="73"/>
      <c r="K197" s="73"/>
      <c r="L197" s="73"/>
      <c r="M197" s="73"/>
      <c r="N197" s="73"/>
      <c r="O197" s="73"/>
      <c r="P197" s="73"/>
      <c r="Q197" s="73"/>
      <c r="R197" s="73"/>
      <c r="S197" s="73"/>
      <c r="T197" s="73"/>
      <c r="U197" s="74"/>
    </row>
    <row r="198" spans="2:21" s="15" customFormat="1" x14ac:dyDescent="0.25">
      <c r="B198" s="72" t="s">
        <v>3083</v>
      </c>
      <c r="C198" s="73"/>
      <c r="D198" s="73"/>
      <c r="E198" s="73"/>
      <c r="F198" s="73"/>
      <c r="G198" s="73"/>
      <c r="H198" s="73"/>
      <c r="I198" s="73"/>
      <c r="J198" s="73"/>
      <c r="K198" s="73"/>
      <c r="L198" s="73"/>
      <c r="M198" s="73"/>
      <c r="N198" s="73"/>
      <c r="O198" s="73"/>
      <c r="P198" s="73"/>
      <c r="Q198" s="73"/>
      <c r="R198" s="73"/>
      <c r="S198" s="73"/>
      <c r="T198" s="73"/>
      <c r="U198" s="74"/>
    </row>
    <row r="199" spans="2:21" s="15" customFormat="1" x14ac:dyDescent="0.25">
      <c r="B199" s="72" t="s">
        <v>3093</v>
      </c>
      <c r="C199" s="73"/>
      <c r="D199" s="73"/>
      <c r="E199" s="73"/>
      <c r="F199" s="73"/>
      <c r="G199" s="73"/>
      <c r="H199" s="73"/>
      <c r="I199" s="73"/>
      <c r="J199" s="73"/>
      <c r="K199" s="73"/>
      <c r="L199" s="73"/>
      <c r="M199" s="73"/>
      <c r="N199" s="73"/>
      <c r="O199" s="73"/>
      <c r="P199" s="73"/>
      <c r="Q199" s="73"/>
      <c r="R199" s="73"/>
      <c r="S199" s="73"/>
      <c r="T199" s="73"/>
      <c r="U199" s="74"/>
    </row>
    <row r="200" spans="2:21" s="15" customFormat="1" x14ac:dyDescent="0.25">
      <c r="B200" s="72" t="s">
        <v>3199</v>
      </c>
      <c r="C200" s="73"/>
      <c r="D200" s="73"/>
      <c r="E200" s="73"/>
      <c r="F200" s="73"/>
      <c r="G200" s="73"/>
      <c r="H200" s="73"/>
      <c r="I200" s="73"/>
      <c r="J200" s="73"/>
      <c r="K200" s="73"/>
      <c r="L200" s="73"/>
      <c r="M200" s="73"/>
      <c r="N200" s="73"/>
      <c r="O200" s="73"/>
      <c r="P200" s="73"/>
      <c r="Q200" s="73"/>
      <c r="R200" s="73"/>
      <c r="S200" s="73"/>
      <c r="T200" s="73"/>
      <c r="U200" s="74"/>
    </row>
    <row r="201" spans="2:21" s="15" customFormat="1" x14ac:dyDescent="0.25">
      <c r="B201" s="72" t="s">
        <v>3085</v>
      </c>
      <c r="C201" s="73"/>
      <c r="D201" s="73"/>
      <c r="E201" s="73"/>
      <c r="F201" s="73"/>
      <c r="G201" s="73"/>
      <c r="H201" s="73"/>
      <c r="I201" s="73"/>
      <c r="J201" s="73"/>
      <c r="K201" s="73"/>
      <c r="L201" s="73"/>
      <c r="M201" s="73"/>
      <c r="N201" s="73"/>
      <c r="O201" s="73"/>
      <c r="P201" s="73"/>
      <c r="Q201" s="73"/>
      <c r="R201" s="73"/>
      <c r="S201" s="73"/>
      <c r="T201" s="73"/>
      <c r="U201" s="74"/>
    </row>
    <row r="202" spans="2:21" s="15" customFormat="1" x14ac:dyDescent="0.25">
      <c r="B202" s="72" t="s">
        <v>3200</v>
      </c>
      <c r="C202" s="73"/>
      <c r="D202" s="73"/>
      <c r="E202" s="73"/>
      <c r="F202" s="73"/>
      <c r="G202" s="73"/>
      <c r="H202" s="73"/>
      <c r="I202" s="73"/>
      <c r="J202" s="73"/>
      <c r="K202" s="73"/>
      <c r="L202" s="73"/>
      <c r="M202" s="73"/>
      <c r="N202" s="73"/>
      <c r="O202" s="73"/>
      <c r="P202" s="73"/>
      <c r="Q202" s="73"/>
      <c r="R202" s="73"/>
      <c r="S202" s="73"/>
      <c r="T202" s="73"/>
      <c r="U202" s="74"/>
    </row>
    <row r="203" spans="2:21" s="15" customFormat="1" x14ac:dyDescent="0.25">
      <c r="B203" s="72" t="s">
        <v>3535</v>
      </c>
      <c r="C203" s="73"/>
      <c r="D203" s="73"/>
      <c r="E203" s="73"/>
      <c r="F203" s="73"/>
      <c r="G203" s="73"/>
      <c r="H203" s="73"/>
      <c r="I203" s="73"/>
      <c r="J203" s="73"/>
      <c r="K203" s="73"/>
      <c r="L203" s="73"/>
      <c r="M203" s="73"/>
      <c r="N203" s="73"/>
      <c r="O203" s="73"/>
      <c r="P203" s="73"/>
      <c r="Q203" s="73"/>
      <c r="R203" s="73"/>
      <c r="S203" s="73"/>
      <c r="T203" s="73"/>
      <c r="U203" s="74"/>
    </row>
    <row r="204" spans="2:21" s="15" customFormat="1" x14ac:dyDescent="0.25">
      <c r="B204" s="72" t="s">
        <v>3083</v>
      </c>
      <c r="C204" s="73"/>
      <c r="D204" s="73"/>
      <c r="E204" s="73"/>
      <c r="F204" s="73"/>
      <c r="G204" s="73"/>
      <c r="H204" s="73"/>
      <c r="I204" s="73"/>
      <c r="J204" s="73"/>
      <c r="K204" s="73"/>
      <c r="L204" s="73"/>
      <c r="M204" s="73"/>
      <c r="N204" s="73"/>
      <c r="O204" s="73"/>
      <c r="P204" s="73"/>
      <c r="Q204" s="73"/>
      <c r="R204" s="73"/>
      <c r="S204" s="73"/>
      <c r="T204" s="73"/>
      <c r="U204" s="74"/>
    </row>
    <row r="205" spans="2:21" s="15" customFormat="1" x14ac:dyDescent="0.25">
      <c r="B205" s="72" t="s">
        <v>3208</v>
      </c>
      <c r="C205" s="73"/>
      <c r="D205" s="73"/>
      <c r="E205" s="73"/>
      <c r="F205" s="73"/>
      <c r="G205" s="73"/>
      <c r="H205" s="73"/>
      <c r="I205" s="73"/>
      <c r="J205" s="73"/>
      <c r="K205" s="73"/>
      <c r="L205" s="73"/>
      <c r="M205" s="73"/>
      <c r="N205" s="73"/>
      <c r="O205" s="73"/>
      <c r="P205" s="73"/>
      <c r="Q205" s="73"/>
      <c r="R205" s="73"/>
      <c r="S205" s="73"/>
      <c r="T205" s="73"/>
      <c r="U205" s="74"/>
    </row>
    <row r="206" spans="2:21" s="15" customFormat="1" x14ac:dyDescent="0.25">
      <c r="B206" s="72" t="s">
        <v>3322</v>
      </c>
      <c r="C206" s="73"/>
      <c r="D206" s="73"/>
      <c r="E206" s="73"/>
      <c r="F206" s="73"/>
      <c r="G206" s="73"/>
      <c r="H206" s="73"/>
      <c r="I206" s="73"/>
      <c r="J206" s="73"/>
      <c r="K206" s="73"/>
      <c r="L206" s="73"/>
      <c r="M206" s="73"/>
      <c r="N206" s="73"/>
      <c r="O206" s="73"/>
      <c r="P206" s="73"/>
      <c r="Q206" s="73"/>
      <c r="R206" s="73"/>
      <c r="S206" s="73"/>
      <c r="T206" s="73"/>
      <c r="U206" s="74"/>
    </row>
    <row r="207" spans="2:21" s="15" customFormat="1" x14ac:dyDescent="0.25">
      <c r="B207" s="72" t="s">
        <v>3050</v>
      </c>
      <c r="C207" s="73"/>
      <c r="D207" s="73"/>
      <c r="E207" s="73"/>
      <c r="F207" s="73"/>
      <c r="G207" s="73"/>
      <c r="H207" s="73"/>
      <c r="I207" s="73"/>
      <c r="J207" s="73"/>
      <c r="K207" s="73"/>
      <c r="L207" s="73"/>
      <c r="M207" s="73"/>
      <c r="N207" s="73"/>
      <c r="O207" s="73"/>
      <c r="P207" s="73"/>
      <c r="Q207" s="73"/>
      <c r="R207" s="73"/>
      <c r="S207" s="73"/>
      <c r="T207" s="73"/>
      <c r="U207" s="74"/>
    </row>
    <row r="208" spans="2:21" s="15" customFormat="1" x14ac:dyDescent="0.25">
      <c r="B208" s="72" t="s">
        <v>3051</v>
      </c>
      <c r="C208" s="73"/>
      <c r="D208" s="73"/>
      <c r="E208" s="73"/>
      <c r="F208" s="73"/>
      <c r="G208" s="73"/>
      <c r="H208" s="73"/>
      <c r="I208" s="73"/>
      <c r="J208" s="73"/>
      <c r="K208" s="73"/>
      <c r="L208" s="73"/>
      <c r="M208" s="73"/>
      <c r="N208" s="73"/>
      <c r="O208" s="73"/>
      <c r="P208" s="73"/>
      <c r="Q208" s="73"/>
      <c r="R208" s="73"/>
      <c r="S208" s="73"/>
      <c r="T208" s="73"/>
      <c r="U208" s="74"/>
    </row>
    <row r="209" spans="2:21" s="15" customFormat="1" x14ac:dyDescent="0.25">
      <c r="B209" s="72" t="s">
        <v>3052</v>
      </c>
      <c r="C209" s="73"/>
      <c r="D209" s="73"/>
      <c r="E209" s="73"/>
      <c r="F209" s="73"/>
      <c r="G209" s="73"/>
      <c r="H209" s="73"/>
      <c r="I209" s="73"/>
      <c r="J209" s="73"/>
      <c r="K209" s="73"/>
      <c r="L209" s="73"/>
      <c r="M209" s="73"/>
      <c r="N209" s="73"/>
      <c r="O209" s="73"/>
      <c r="P209" s="73"/>
      <c r="Q209" s="73"/>
      <c r="R209" s="73"/>
      <c r="S209" s="73"/>
      <c r="T209" s="73"/>
      <c r="U209" s="74"/>
    </row>
    <row r="210" spans="2:21" s="15" customFormat="1" x14ac:dyDescent="0.25">
      <c r="B210" s="72" t="s">
        <v>3585</v>
      </c>
      <c r="C210" s="73"/>
      <c r="D210" s="73"/>
      <c r="E210" s="73"/>
      <c r="F210" s="73"/>
      <c r="G210" s="73"/>
      <c r="H210" s="73"/>
      <c r="I210" s="73"/>
      <c r="J210" s="73"/>
      <c r="K210" s="73"/>
      <c r="L210" s="73"/>
      <c r="M210" s="73"/>
      <c r="N210" s="73"/>
      <c r="O210" s="73"/>
      <c r="P210" s="73"/>
      <c r="Q210" s="73"/>
      <c r="R210" s="73"/>
      <c r="S210" s="73"/>
      <c r="T210" s="73"/>
      <c r="U210" s="74"/>
    </row>
    <row r="211" spans="2:21" s="15" customFormat="1" x14ac:dyDescent="0.25">
      <c r="B211" s="72" t="s">
        <v>3054</v>
      </c>
      <c r="C211" s="73"/>
      <c r="D211" s="73"/>
      <c r="E211" s="73"/>
      <c r="F211" s="73"/>
      <c r="G211" s="73"/>
      <c r="H211" s="73"/>
      <c r="I211" s="73"/>
      <c r="J211" s="73"/>
      <c r="K211" s="73"/>
      <c r="L211" s="73"/>
      <c r="M211" s="73"/>
      <c r="N211" s="73"/>
      <c r="O211" s="73"/>
      <c r="P211" s="73"/>
      <c r="Q211" s="73"/>
      <c r="R211" s="73"/>
      <c r="S211" s="73"/>
      <c r="T211" s="73"/>
      <c r="U211" s="74"/>
    </row>
    <row r="212" spans="2:21" s="15" customFormat="1" x14ac:dyDescent="0.25">
      <c r="B212" s="72" t="s">
        <v>3586</v>
      </c>
      <c r="C212" s="73"/>
      <c r="D212" s="73"/>
      <c r="E212" s="73"/>
      <c r="F212" s="73"/>
      <c r="G212" s="73"/>
      <c r="H212" s="73"/>
      <c r="I212" s="73"/>
      <c r="J212" s="73"/>
      <c r="K212" s="73"/>
      <c r="L212" s="73"/>
      <c r="M212" s="73"/>
      <c r="N212" s="73"/>
      <c r="O212" s="73"/>
      <c r="P212" s="73"/>
      <c r="Q212" s="73"/>
      <c r="R212" s="73"/>
      <c r="S212" s="73"/>
      <c r="T212" s="73"/>
      <c r="U212" s="74"/>
    </row>
    <row r="213" spans="2:21" s="15" customFormat="1" x14ac:dyDescent="0.25">
      <c r="B213" s="72" t="s">
        <v>3420</v>
      </c>
      <c r="C213" s="73"/>
      <c r="D213" s="73"/>
      <c r="E213" s="73"/>
      <c r="F213" s="73"/>
      <c r="G213" s="73"/>
      <c r="H213" s="73"/>
      <c r="I213" s="73"/>
      <c r="J213" s="73"/>
      <c r="K213" s="73"/>
      <c r="L213" s="73"/>
      <c r="M213" s="73"/>
      <c r="N213" s="73"/>
      <c r="O213" s="73"/>
      <c r="P213" s="73"/>
      <c r="Q213" s="73"/>
      <c r="R213" s="73"/>
      <c r="S213" s="73"/>
      <c r="T213" s="73"/>
      <c r="U213" s="74"/>
    </row>
    <row r="214" spans="2:21" s="15" customFormat="1" x14ac:dyDescent="0.25">
      <c r="B214" s="72" t="s">
        <v>3058</v>
      </c>
      <c r="C214" s="73"/>
      <c r="D214" s="73"/>
      <c r="E214" s="73"/>
      <c r="F214" s="73"/>
      <c r="G214" s="73"/>
      <c r="H214" s="73"/>
      <c r="I214" s="73"/>
      <c r="J214" s="73"/>
      <c r="K214" s="73"/>
      <c r="L214" s="73"/>
      <c r="M214" s="73"/>
      <c r="N214" s="73"/>
      <c r="O214" s="73"/>
      <c r="P214" s="73"/>
      <c r="Q214" s="73"/>
      <c r="R214" s="73"/>
      <c r="S214" s="73"/>
      <c r="T214" s="73"/>
      <c r="U214" s="74"/>
    </row>
    <row r="215" spans="2:21" s="15" customFormat="1" x14ac:dyDescent="0.25">
      <c r="B215" s="72" t="s">
        <v>3059</v>
      </c>
      <c r="C215" s="73"/>
      <c r="D215" s="73"/>
      <c r="E215" s="73"/>
      <c r="F215" s="73"/>
      <c r="G215" s="73"/>
      <c r="H215" s="73"/>
      <c r="I215" s="73"/>
      <c r="J215" s="73"/>
      <c r="K215" s="73"/>
      <c r="L215" s="73"/>
      <c r="M215" s="73"/>
      <c r="N215" s="73"/>
      <c r="O215" s="73"/>
      <c r="P215" s="73"/>
      <c r="Q215" s="73"/>
      <c r="R215" s="73"/>
      <c r="S215" s="73"/>
      <c r="T215" s="73"/>
      <c r="U215" s="74"/>
    </row>
    <row r="216" spans="2:21" s="15" customFormat="1" x14ac:dyDescent="0.25">
      <c r="B216" s="72" t="s">
        <v>3587</v>
      </c>
      <c r="C216" s="73"/>
      <c r="D216" s="73"/>
      <c r="E216" s="73"/>
      <c r="F216" s="73"/>
      <c r="G216" s="73"/>
      <c r="H216" s="73"/>
      <c r="I216" s="73"/>
      <c r="J216" s="73"/>
      <c r="K216" s="73"/>
      <c r="L216" s="73"/>
      <c r="M216" s="73"/>
      <c r="N216" s="73"/>
      <c r="O216" s="73"/>
      <c r="P216" s="73"/>
      <c r="Q216" s="73"/>
      <c r="R216" s="73"/>
      <c r="S216" s="73"/>
      <c r="T216" s="73"/>
      <c r="U216" s="74"/>
    </row>
    <row r="217" spans="2:21" s="15" customFormat="1" x14ac:dyDescent="0.25">
      <c r="B217" s="72" t="s">
        <v>3588</v>
      </c>
      <c r="C217" s="73"/>
      <c r="D217" s="73"/>
      <c r="E217" s="73"/>
      <c r="F217" s="73"/>
      <c r="G217" s="73"/>
      <c r="H217" s="73"/>
      <c r="I217" s="73"/>
      <c r="J217" s="73"/>
      <c r="K217" s="73"/>
      <c r="L217" s="73"/>
      <c r="M217" s="73"/>
      <c r="N217" s="73"/>
      <c r="O217" s="73"/>
      <c r="P217" s="73"/>
      <c r="Q217" s="73"/>
      <c r="R217" s="73"/>
      <c r="S217" s="73"/>
      <c r="T217" s="73"/>
      <c r="U217" s="74"/>
    </row>
    <row r="218" spans="2:21" s="15" customFormat="1" x14ac:dyDescent="0.25">
      <c r="B218" s="72" t="s">
        <v>3589</v>
      </c>
      <c r="C218" s="73"/>
      <c r="D218" s="73"/>
      <c r="E218" s="73"/>
      <c r="F218" s="73"/>
      <c r="G218" s="73"/>
      <c r="H218" s="73"/>
      <c r="I218" s="73"/>
      <c r="J218" s="73"/>
      <c r="K218" s="73"/>
      <c r="L218" s="73"/>
      <c r="M218" s="73"/>
      <c r="N218" s="73"/>
      <c r="O218" s="73"/>
      <c r="P218" s="73"/>
      <c r="Q218" s="73"/>
      <c r="R218" s="73"/>
      <c r="S218" s="73"/>
      <c r="T218" s="73"/>
      <c r="U218" s="74"/>
    </row>
    <row r="219" spans="2:21" s="15" customFormat="1" x14ac:dyDescent="0.25">
      <c r="B219" s="72" t="s">
        <v>3221</v>
      </c>
      <c r="C219" s="73"/>
      <c r="D219" s="73"/>
      <c r="E219" s="73"/>
      <c r="F219" s="73"/>
      <c r="G219" s="73"/>
      <c r="H219" s="73"/>
      <c r="I219" s="73"/>
      <c r="J219" s="73"/>
      <c r="K219" s="73"/>
      <c r="L219" s="73"/>
      <c r="M219" s="73"/>
      <c r="N219" s="73"/>
      <c r="O219" s="73"/>
      <c r="P219" s="73"/>
      <c r="Q219" s="73"/>
      <c r="R219" s="73"/>
      <c r="S219" s="73"/>
      <c r="T219" s="73"/>
      <c r="U219" s="74"/>
    </row>
    <row r="220" spans="2:21" s="15" customFormat="1" x14ac:dyDescent="0.25">
      <c r="B220" s="72" t="s">
        <v>3062</v>
      </c>
      <c r="C220" s="73"/>
      <c r="D220" s="73"/>
      <c r="E220" s="73"/>
      <c r="F220" s="73"/>
      <c r="G220" s="73"/>
      <c r="H220" s="73"/>
      <c r="I220" s="73"/>
      <c r="J220" s="73"/>
      <c r="K220" s="73"/>
      <c r="L220" s="73"/>
      <c r="M220" s="73"/>
      <c r="N220" s="73"/>
      <c r="O220" s="73"/>
      <c r="P220" s="73"/>
      <c r="Q220" s="73"/>
      <c r="R220" s="73"/>
      <c r="S220" s="73"/>
      <c r="T220" s="73"/>
      <c r="U220" s="74"/>
    </row>
    <row r="221" spans="2:21" s="15" customFormat="1" x14ac:dyDescent="0.25">
      <c r="B221" s="72" t="s">
        <v>3480</v>
      </c>
      <c r="C221" s="73"/>
      <c r="D221" s="73"/>
      <c r="E221" s="73"/>
      <c r="F221" s="73"/>
      <c r="G221" s="73"/>
      <c r="H221" s="73"/>
      <c r="I221" s="73"/>
      <c r="J221" s="73"/>
      <c r="K221" s="73"/>
      <c r="L221" s="73"/>
      <c r="M221" s="73"/>
      <c r="N221" s="73"/>
      <c r="O221" s="73"/>
      <c r="P221" s="73"/>
      <c r="Q221" s="73"/>
      <c r="R221" s="73"/>
      <c r="S221" s="73"/>
      <c r="T221" s="73"/>
      <c r="U221" s="74"/>
    </row>
    <row r="222" spans="2:21" s="15" customFormat="1" x14ac:dyDescent="0.25">
      <c r="B222" s="72" t="s">
        <v>3590</v>
      </c>
      <c r="C222" s="73"/>
      <c r="D222" s="73"/>
      <c r="E222" s="73"/>
      <c r="F222" s="73"/>
      <c r="G222" s="73"/>
      <c r="H222" s="73"/>
      <c r="I222" s="73"/>
      <c r="J222" s="73"/>
      <c r="K222" s="73"/>
      <c r="L222" s="73"/>
      <c r="M222" s="73"/>
      <c r="N222" s="73"/>
      <c r="O222" s="73"/>
      <c r="P222" s="73"/>
      <c r="Q222" s="73"/>
      <c r="R222" s="73"/>
      <c r="S222" s="73"/>
      <c r="T222" s="73"/>
      <c r="U222" s="74"/>
    </row>
    <row r="223" spans="2:21" s="15" customFormat="1" x14ac:dyDescent="0.25">
      <c r="B223" s="72" t="s">
        <v>3066</v>
      </c>
      <c r="C223" s="73"/>
      <c r="D223" s="73"/>
      <c r="E223" s="73"/>
      <c r="F223" s="73"/>
      <c r="G223" s="73"/>
      <c r="H223" s="73"/>
      <c r="I223" s="73"/>
      <c r="J223" s="73"/>
      <c r="K223" s="73"/>
      <c r="L223" s="73"/>
      <c r="M223" s="73"/>
      <c r="N223" s="73"/>
      <c r="O223" s="73"/>
      <c r="P223" s="73"/>
      <c r="Q223" s="73"/>
      <c r="R223" s="73"/>
      <c r="S223" s="73"/>
      <c r="T223" s="73"/>
      <c r="U223" s="74"/>
    </row>
    <row r="224" spans="2:21" s="15" customFormat="1" x14ac:dyDescent="0.25">
      <c r="B224" s="72" t="s">
        <v>3481</v>
      </c>
      <c r="C224" s="73"/>
      <c r="D224" s="73"/>
      <c r="E224" s="73"/>
      <c r="F224" s="73"/>
      <c r="G224" s="73"/>
      <c r="H224" s="73"/>
      <c r="I224" s="73"/>
      <c r="J224" s="73"/>
      <c r="K224" s="73"/>
      <c r="L224" s="73"/>
      <c r="M224" s="73"/>
      <c r="N224" s="73"/>
      <c r="O224" s="73"/>
      <c r="P224" s="73"/>
      <c r="Q224" s="73"/>
      <c r="R224" s="73"/>
      <c r="S224" s="73"/>
      <c r="T224" s="73"/>
      <c r="U224" s="74"/>
    </row>
    <row r="225" spans="2:21" s="15" customFormat="1" x14ac:dyDescent="0.25">
      <c r="B225" s="72" t="s">
        <v>3591</v>
      </c>
      <c r="C225" s="73"/>
      <c r="D225" s="73"/>
      <c r="E225" s="73"/>
      <c r="F225" s="73"/>
      <c r="G225" s="73"/>
      <c r="H225" s="73"/>
      <c r="I225" s="73"/>
      <c r="J225" s="73"/>
      <c r="K225" s="73"/>
      <c r="L225" s="73"/>
      <c r="M225" s="73"/>
      <c r="N225" s="73"/>
      <c r="O225" s="73"/>
      <c r="P225" s="73"/>
      <c r="Q225" s="73"/>
      <c r="R225" s="73"/>
      <c r="S225" s="73"/>
      <c r="T225" s="73"/>
      <c r="U225" s="74"/>
    </row>
    <row r="226" spans="2:21" s="15" customFormat="1" x14ac:dyDescent="0.25">
      <c r="B226" s="72" t="s">
        <v>3425</v>
      </c>
      <c r="C226" s="73"/>
      <c r="D226" s="73"/>
      <c r="E226" s="73"/>
      <c r="F226" s="73"/>
      <c r="G226" s="73"/>
      <c r="H226" s="73"/>
      <c r="I226" s="73"/>
      <c r="J226" s="73"/>
      <c r="K226" s="73"/>
      <c r="L226" s="73"/>
      <c r="M226" s="73"/>
      <c r="N226" s="73"/>
      <c r="O226" s="73"/>
      <c r="P226" s="73"/>
      <c r="Q226" s="73"/>
      <c r="R226" s="73"/>
      <c r="S226" s="73"/>
      <c r="T226" s="73"/>
      <c r="U226" s="74"/>
    </row>
    <row r="227" spans="2:21" s="15" customFormat="1" x14ac:dyDescent="0.25">
      <c r="B227" s="72" t="s">
        <v>3426</v>
      </c>
      <c r="C227" s="73"/>
      <c r="D227" s="73"/>
      <c r="E227" s="73"/>
      <c r="F227" s="73"/>
      <c r="G227" s="73"/>
      <c r="H227" s="73"/>
      <c r="I227" s="73"/>
      <c r="J227" s="73"/>
      <c r="K227" s="73"/>
      <c r="L227" s="73"/>
      <c r="M227" s="73"/>
      <c r="N227" s="73"/>
      <c r="O227" s="73"/>
      <c r="P227" s="73"/>
      <c r="Q227" s="73"/>
      <c r="R227" s="73"/>
      <c r="S227" s="73"/>
      <c r="T227" s="73"/>
      <c r="U227" s="74"/>
    </row>
    <row r="228" spans="2:21" s="15" customFormat="1" x14ac:dyDescent="0.25">
      <c r="B228" s="72" t="s">
        <v>3483</v>
      </c>
      <c r="C228" s="73"/>
      <c r="D228" s="73"/>
      <c r="E228" s="73"/>
      <c r="F228" s="73"/>
      <c r="G228" s="73"/>
      <c r="H228" s="73"/>
      <c r="I228" s="73"/>
      <c r="J228" s="73"/>
      <c r="K228" s="73"/>
      <c r="L228" s="73"/>
      <c r="M228" s="73"/>
      <c r="N228" s="73"/>
      <c r="O228" s="73"/>
      <c r="P228" s="73"/>
      <c r="Q228" s="73"/>
      <c r="R228" s="73"/>
      <c r="S228" s="73"/>
      <c r="T228" s="73"/>
      <c r="U228" s="74"/>
    </row>
    <row r="229" spans="2:21" s="15" customFormat="1" x14ac:dyDescent="0.25">
      <c r="B229" s="72" t="s">
        <v>3071</v>
      </c>
      <c r="C229" s="73"/>
      <c r="D229" s="73"/>
      <c r="E229" s="73"/>
      <c r="F229" s="73"/>
      <c r="G229" s="73"/>
      <c r="H229" s="73"/>
      <c r="I229" s="73"/>
      <c r="J229" s="73"/>
      <c r="K229" s="73"/>
      <c r="L229" s="73"/>
      <c r="M229" s="73"/>
      <c r="N229" s="73"/>
      <c r="O229" s="73"/>
      <c r="P229" s="73"/>
      <c r="Q229" s="73"/>
      <c r="R229" s="73"/>
      <c r="S229" s="73"/>
      <c r="T229" s="73"/>
      <c r="U229" s="74"/>
    </row>
    <row r="230" spans="2:21" s="15" customFormat="1" x14ac:dyDescent="0.25">
      <c r="B230" s="72" t="s">
        <v>3484</v>
      </c>
      <c r="C230" s="73"/>
      <c r="D230" s="73"/>
      <c r="E230" s="73"/>
      <c r="F230" s="73"/>
      <c r="G230" s="73"/>
      <c r="H230" s="73"/>
      <c r="I230" s="73"/>
      <c r="J230" s="73"/>
      <c r="K230" s="73"/>
      <c r="L230" s="73"/>
      <c r="M230" s="73"/>
      <c r="N230" s="73"/>
      <c r="O230" s="73"/>
      <c r="P230" s="73"/>
      <c r="Q230" s="73"/>
      <c r="R230" s="73"/>
      <c r="S230" s="73"/>
      <c r="T230" s="73"/>
      <c r="U230" s="74"/>
    </row>
    <row r="231" spans="2:21" s="15" customFormat="1" x14ac:dyDescent="0.25">
      <c r="B231" s="72" t="s">
        <v>3083</v>
      </c>
      <c r="C231" s="73"/>
      <c r="D231" s="73"/>
      <c r="E231" s="73"/>
      <c r="F231" s="73"/>
      <c r="G231" s="73"/>
      <c r="H231" s="73"/>
      <c r="I231" s="73"/>
      <c r="J231" s="73"/>
      <c r="K231" s="73"/>
      <c r="L231" s="73"/>
      <c r="M231" s="73"/>
      <c r="N231" s="73"/>
      <c r="O231" s="73"/>
      <c r="P231" s="73"/>
      <c r="Q231" s="73"/>
      <c r="R231" s="73"/>
      <c r="S231" s="73"/>
      <c r="T231" s="73"/>
      <c r="U231" s="74"/>
    </row>
    <row r="232" spans="2:21" s="15" customFormat="1" x14ac:dyDescent="0.25">
      <c r="B232" s="72" t="s">
        <v>3058</v>
      </c>
      <c r="C232" s="73"/>
      <c r="D232" s="73"/>
      <c r="E232" s="73"/>
      <c r="F232" s="73"/>
      <c r="G232" s="73"/>
      <c r="H232" s="73"/>
      <c r="I232" s="73"/>
      <c r="J232" s="73"/>
      <c r="K232" s="73"/>
      <c r="L232" s="73"/>
      <c r="M232" s="73"/>
      <c r="N232" s="73"/>
      <c r="O232" s="73"/>
      <c r="P232" s="73"/>
      <c r="Q232" s="73"/>
      <c r="R232" s="73"/>
      <c r="S232" s="73"/>
      <c r="T232" s="73"/>
      <c r="U232" s="74"/>
    </row>
    <row r="233" spans="2:21" s="15" customFormat="1" x14ac:dyDescent="0.25">
      <c r="B233" s="72" t="s">
        <v>3485</v>
      </c>
      <c r="C233" s="73"/>
      <c r="D233" s="73"/>
      <c r="E233" s="73"/>
      <c r="F233" s="73"/>
      <c r="G233" s="73"/>
      <c r="H233" s="73"/>
      <c r="I233" s="73"/>
      <c r="J233" s="73"/>
      <c r="K233" s="73"/>
      <c r="L233" s="73"/>
      <c r="M233" s="73"/>
      <c r="N233" s="73"/>
      <c r="O233" s="73"/>
      <c r="P233" s="73"/>
      <c r="Q233" s="73"/>
      <c r="R233" s="73"/>
      <c r="S233" s="73"/>
      <c r="T233" s="73"/>
      <c r="U233" s="74"/>
    </row>
    <row r="234" spans="2:21" s="15" customFormat="1" x14ac:dyDescent="0.25">
      <c r="B234" s="72" t="s">
        <v>3085</v>
      </c>
      <c r="C234" s="73"/>
      <c r="D234" s="73"/>
      <c r="E234" s="73"/>
      <c r="F234" s="73"/>
      <c r="G234" s="73"/>
      <c r="H234" s="73"/>
      <c r="I234" s="73"/>
      <c r="J234" s="73"/>
      <c r="K234" s="73"/>
      <c r="L234" s="73"/>
      <c r="M234" s="73"/>
      <c r="N234" s="73"/>
      <c r="O234" s="73"/>
      <c r="P234" s="73"/>
      <c r="Q234" s="73"/>
      <c r="R234" s="73"/>
      <c r="S234" s="73"/>
      <c r="T234" s="73"/>
      <c r="U234" s="74"/>
    </row>
    <row r="235" spans="2:21" s="15" customFormat="1" x14ac:dyDescent="0.25">
      <c r="B235" s="72" t="s">
        <v>3592</v>
      </c>
      <c r="C235" s="73"/>
      <c r="D235" s="73"/>
      <c r="E235" s="73"/>
      <c r="F235" s="73"/>
      <c r="G235" s="73"/>
      <c r="H235" s="73"/>
      <c r="I235" s="73"/>
      <c r="J235" s="73"/>
      <c r="K235" s="73"/>
      <c r="L235" s="73"/>
      <c r="M235" s="73"/>
      <c r="N235" s="73"/>
      <c r="O235" s="73"/>
      <c r="P235" s="73"/>
      <c r="Q235" s="73"/>
      <c r="R235" s="73"/>
      <c r="S235" s="73"/>
      <c r="T235" s="73"/>
      <c r="U235" s="74"/>
    </row>
    <row r="236" spans="2:21" s="15" customFormat="1" x14ac:dyDescent="0.25">
      <c r="B236" s="72" t="s">
        <v>3487</v>
      </c>
      <c r="C236" s="73"/>
      <c r="D236" s="73"/>
      <c r="E236" s="73"/>
      <c r="F236" s="73"/>
      <c r="G236" s="73"/>
      <c r="H236" s="73"/>
      <c r="I236" s="73"/>
      <c r="J236" s="73"/>
      <c r="K236" s="73"/>
      <c r="L236" s="73"/>
      <c r="M236" s="73"/>
      <c r="N236" s="73"/>
      <c r="O236" s="73"/>
      <c r="P236" s="73"/>
      <c r="Q236" s="73"/>
      <c r="R236" s="73"/>
      <c r="S236" s="73"/>
      <c r="T236" s="73"/>
      <c r="U236" s="74"/>
    </row>
    <row r="237" spans="2:21" s="15" customFormat="1" x14ac:dyDescent="0.25">
      <c r="B237" s="72" t="s">
        <v>3593</v>
      </c>
      <c r="C237" s="73"/>
      <c r="D237" s="73"/>
      <c r="E237" s="73"/>
      <c r="F237" s="73"/>
      <c r="G237" s="73"/>
      <c r="H237" s="73"/>
      <c r="I237" s="73"/>
      <c r="J237" s="73"/>
      <c r="K237" s="73"/>
      <c r="L237" s="73"/>
      <c r="M237" s="73"/>
      <c r="N237" s="73"/>
      <c r="O237" s="73"/>
      <c r="P237" s="73"/>
      <c r="Q237" s="73"/>
      <c r="R237" s="73"/>
      <c r="S237" s="73"/>
      <c r="T237" s="73"/>
      <c r="U237" s="74"/>
    </row>
    <row r="238" spans="2:21" s="15" customFormat="1" x14ac:dyDescent="0.25">
      <c r="B238" s="72" t="s">
        <v>3490</v>
      </c>
      <c r="C238" s="73"/>
      <c r="D238" s="73"/>
      <c r="E238" s="73"/>
      <c r="F238" s="73"/>
      <c r="G238" s="73"/>
      <c r="H238" s="73"/>
      <c r="I238" s="73"/>
      <c r="J238" s="73"/>
      <c r="K238" s="73"/>
      <c r="L238" s="73"/>
      <c r="M238" s="73"/>
      <c r="N238" s="73"/>
      <c r="O238" s="73"/>
      <c r="P238" s="73"/>
      <c r="Q238" s="73"/>
      <c r="R238" s="73"/>
      <c r="S238" s="73"/>
      <c r="T238" s="73"/>
      <c r="U238" s="74"/>
    </row>
    <row r="239" spans="2:21" s="15" customFormat="1" x14ac:dyDescent="0.25">
      <c r="B239" s="72" t="s">
        <v>3491</v>
      </c>
      <c r="C239" s="73"/>
      <c r="D239" s="73"/>
      <c r="E239" s="73"/>
      <c r="F239" s="73"/>
      <c r="G239" s="73"/>
      <c r="H239" s="73"/>
      <c r="I239" s="73"/>
      <c r="J239" s="73"/>
      <c r="K239" s="73"/>
      <c r="L239" s="73"/>
      <c r="M239" s="73"/>
      <c r="N239" s="73"/>
      <c r="O239" s="73"/>
      <c r="P239" s="73"/>
      <c r="Q239" s="73"/>
      <c r="R239" s="73"/>
      <c r="S239" s="73"/>
      <c r="T239" s="73"/>
      <c r="U239" s="74"/>
    </row>
    <row r="240" spans="2:21" s="15" customFormat="1" x14ac:dyDescent="0.25">
      <c r="B240" s="72" t="s">
        <v>3492</v>
      </c>
      <c r="C240" s="73"/>
      <c r="D240" s="73"/>
      <c r="E240" s="73"/>
      <c r="F240" s="73"/>
      <c r="G240" s="73"/>
      <c r="H240" s="73"/>
      <c r="I240" s="73"/>
      <c r="J240" s="73"/>
      <c r="K240" s="73"/>
      <c r="L240" s="73"/>
      <c r="M240" s="73"/>
      <c r="N240" s="73"/>
      <c r="O240" s="73"/>
      <c r="P240" s="73"/>
      <c r="Q240" s="73"/>
      <c r="R240" s="73"/>
      <c r="S240" s="73"/>
      <c r="T240" s="73"/>
      <c r="U240" s="74"/>
    </row>
    <row r="241" spans="2:21" s="15" customFormat="1" x14ac:dyDescent="0.25">
      <c r="B241" s="72" t="s">
        <v>3083</v>
      </c>
      <c r="C241" s="73"/>
      <c r="D241" s="73"/>
      <c r="E241" s="73"/>
      <c r="F241" s="73"/>
      <c r="G241" s="73"/>
      <c r="H241" s="73"/>
      <c r="I241" s="73"/>
      <c r="J241" s="73"/>
      <c r="K241" s="73"/>
      <c r="L241" s="73"/>
      <c r="M241" s="73"/>
      <c r="N241" s="73"/>
      <c r="O241" s="73"/>
      <c r="P241" s="73"/>
      <c r="Q241" s="73"/>
      <c r="R241" s="73"/>
      <c r="S241" s="73"/>
      <c r="T241" s="73"/>
      <c r="U241" s="74"/>
    </row>
    <row r="242" spans="2:21" s="15" customFormat="1" x14ac:dyDescent="0.25">
      <c r="B242" s="72" t="s">
        <v>3093</v>
      </c>
      <c r="C242" s="73"/>
      <c r="D242" s="73"/>
      <c r="E242" s="73"/>
      <c r="F242" s="73"/>
      <c r="G242" s="73"/>
      <c r="H242" s="73"/>
      <c r="I242" s="73"/>
      <c r="J242" s="73"/>
      <c r="K242" s="73"/>
      <c r="L242" s="73"/>
      <c r="M242" s="73"/>
      <c r="N242" s="73"/>
      <c r="O242" s="73"/>
      <c r="P242" s="73"/>
      <c r="Q242" s="73"/>
      <c r="R242" s="73"/>
      <c r="S242" s="73"/>
      <c r="T242" s="73"/>
      <c r="U242" s="74"/>
    </row>
    <row r="243" spans="2:21" s="15" customFormat="1" x14ac:dyDescent="0.25">
      <c r="B243" s="72" t="s">
        <v>3084</v>
      </c>
      <c r="C243" s="73"/>
      <c r="D243" s="73"/>
      <c r="E243" s="73"/>
      <c r="F243" s="73"/>
      <c r="G243" s="73"/>
      <c r="H243" s="73"/>
      <c r="I243" s="73"/>
      <c r="J243" s="73"/>
      <c r="K243" s="73"/>
      <c r="L243" s="73"/>
      <c r="M243" s="73"/>
      <c r="N243" s="73"/>
      <c r="O243" s="73"/>
      <c r="P243" s="73"/>
      <c r="Q243" s="73"/>
      <c r="R243" s="73"/>
      <c r="S243" s="73"/>
      <c r="T243" s="73"/>
      <c r="U243" s="74"/>
    </row>
    <row r="244" spans="2:21" s="15" customFormat="1" x14ac:dyDescent="0.25">
      <c r="B244" s="72" t="s">
        <v>3085</v>
      </c>
      <c r="C244" s="73"/>
      <c r="D244" s="73"/>
      <c r="E244" s="73"/>
      <c r="F244" s="73"/>
      <c r="G244" s="73"/>
      <c r="H244" s="73"/>
      <c r="I244" s="73"/>
      <c r="J244" s="73"/>
      <c r="K244" s="73"/>
      <c r="L244" s="73"/>
      <c r="M244" s="73"/>
      <c r="N244" s="73"/>
      <c r="O244" s="73"/>
      <c r="P244" s="73"/>
      <c r="Q244" s="73"/>
      <c r="R244" s="73"/>
      <c r="S244" s="73"/>
      <c r="T244" s="73"/>
      <c r="U244" s="74"/>
    </row>
    <row r="245" spans="2:21" s="15" customFormat="1" x14ac:dyDescent="0.25">
      <c r="B245" s="72" t="s">
        <v>3594</v>
      </c>
      <c r="C245" s="73"/>
      <c r="D245" s="73"/>
      <c r="E245" s="73"/>
      <c r="F245" s="73"/>
      <c r="G245" s="73"/>
      <c r="H245" s="73"/>
      <c r="I245" s="73"/>
      <c r="J245" s="73"/>
      <c r="K245" s="73"/>
      <c r="L245" s="73"/>
      <c r="M245" s="73"/>
      <c r="N245" s="73"/>
      <c r="O245" s="73"/>
      <c r="P245" s="73"/>
      <c r="Q245" s="73"/>
      <c r="R245" s="73"/>
      <c r="S245" s="73"/>
      <c r="T245" s="73"/>
      <c r="U245" s="74"/>
    </row>
    <row r="246" spans="2:21" s="15" customFormat="1" x14ac:dyDescent="0.25">
      <c r="B246" s="72" t="s">
        <v>3083</v>
      </c>
      <c r="C246" s="73"/>
      <c r="D246" s="73"/>
      <c r="E246" s="73"/>
      <c r="F246" s="73"/>
      <c r="G246" s="73"/>
      <c r="H246" s="73"/>
      <c r="I246" s="73"/>
      <c r="J246" s="73"/>
      <c r="K246" s="73"/>
      <c r="L246" s="73"/>
      <c r="M246" s="73"/>
      <c r="N246" s="73"/>
      <c r="O246" s="73"/>
      <c r="P246" s="73"/>
      <c r="Q246" s="73"/>
      <c r="R246" s="73"/>
      <c r="S246" s="73"/>
      <c r="T246" s="73"/>
      <c r="U246" s="74"/>
    </row>
    <row r="247" spans="2:21" s="15" customFormat="1" x14ac:dyDescent="0.25">
      <c r="B247" s="72" t="s">
        <v>3093</v>
      </c>
      <c r="C247" s="73"/>
      <c r="D247" s="73"/>
      <c r="E247" s="73"/>
      <c r="F247" s="73"/>
      <c r="G247" s="73"/>
      <c r="H247" s="73"/>
      <c r="I247" s="73"/>
      <c r="J247" s="73"/>
      <c r="K247" s="73"/>
      <c r="L247" s="73"/>
      <c r="M247" s="73"/>
      <c r="N247" s="73"/>
      <c r="O247" s="73"/>
      <c r="P247" s="73"/>
      <c r="Q247" s="73"/>
      <c r="R247" s="73"/>
      <c r="S247" s="73"/>
      <c r="T247" s="73"/>
      <c r="U247" s="74"/>
    </row>
    <row r="248" spans="2:21" s="15" customFormat="1" x14ac:dyDescent="0.25">
      <c r="B248" s="72" t="s">
        <v>3094</v>
      </c>
      <c r="C248" s="73"/>
      <c r="D248" s="73"/>
      <c r="E248" s="73"/>
      <c r="F248" s="73"/>
      <c r="G248" s="73"/>
      <c r="H248" s="73"/>
      <c r="I248" s="73"/>
      <c r="J248" s="73"/>
      <c r="K248" s="73"/>
      <c r="L248" s="73"/>
      <c r="M248" s="73"/>
      <c r="N248" s="73"/>
      <c r="O248" s="73"/>
      <c r="P248" s="73"/>
      <c r="Q248" s="73"/>
      <c r="R248" s="73"/>
      <c r="S248" s="73"/>
      <c r="T248" s="73"/>
      <c r="U248" s="74"/>
    </row>
    <row r="249" spans="2:21" s="15" customFormat="1" x14ac:dyDescent="0.25">
      <c r="B249" s="72" t="s">
        <v>3095</v>
      </c>
      <c r="C249" s="73"/>
      <c r="D249" s="73"/>
      <c r="E249" s="73"/>
      <c r="F249" s="73"/>
      <c r="G249" s="73"/>
      <c r="H249" s="73"/>
      <c r="I249" s="73"/>
      <c r="J249" s="73"/>
      <c r="K249" s="73"/>
      <c r="L249" s="73"/>
      <c r="M249" s="73"/>
      <c r="N249" s="73"/>
      <c r="O249" s="73"/>
      <c r="P249" s="73"/>
      <c r="Q249" s="73"/>
      <c r="R249" s="73"/>
      <c r="S249" s="73"/>
      <c r="T249" s="73"/>
      <c r="U249" s="74"/>
    </row>
    <row r="250" spans="2:21" s="15" customFormat="1" x14ac:dyDescent="0.25">
      <c r="B250" s="72" t="s">
        <v>3096</v>
      </c>
      <c r="C250" s="73"/>
      <c r="D250" s="73"/>
      <c r="E250" s="73"/>
      <c r="F250" s="73"/>
      <c r="G250" s="73"/>
      <c r="H250" s="73"/>
      <c r="I250" s="73"/>
      <c r="J250" s="73"/>
      <c r="K250" s="73"/>
      <c r="L250" s="73"/>
      <c r="M250" s="73"/>
      <c r="N250" s="73"/>
      <c r="O250" s="73"/>
      <c r="P250" s="73"/>
      <c r="Q250" s="73"/>
      <c r="R250" s="73"/>
      <c r="S250" s="73"/>
      <c r="T250" s="73"/>
      <c r="U250" s="74"/>
    </row>
    <row r="251" spans="2:21" s="15" customFormat="1" x14ac:dyDescent="0.25">
      <c r="B251" s="72" t="s">
        <v>3097</v>
      </c>
      <c r="C251" s="73"/>
      <c r="D251" s="73"/>
      <c r="E251" s="73"/>
      <c r="F251" s="73"/>
      <c r="G251" s="73"/>
      <c r="H251" s="73"/>
      <c r="I251" s="73"/>
      <c r="J251" s="73"/>
      <c r="K251" s="73"/>
      <c r="L251" s="73"/>
      <c r="M251" s="73"/>
      <c r="N251" s="73"/>
      <c r="O251" s="73"/>
      <c r="P251" s="73"/>
      <c r="Q251" s="73"/>
      <c r="R251" s="73"/>
      <c r="S251" s="73"/>
      <c r="T251" s="73"/>
      <c r="U251" s="74"/>
    </row>
    <row r="252" spans="2:21" s="15" customFormat="1" x14ac:dyDescent="0.25">
      <c r="B252" s="72" t="s">
        <v>3098</v>
      </c>
      <c r="C252" s="73"/>
      <c r="D252" s="73"/>
      <c r="E252" s="73"/>
      <c r="F252" s="73"/>
      <c r="G252" s="73"/>
      <c r="H252" s="73"/>
      <c r="I252" s="73"/>
      <c r="J252" s="73"/>
      <c r="K252" s="73"/>
      <c r="L252" s="73"/>
      <c r="M252" s="73"/>
      <c r="N252" s="73"/>
      <c r="O252" s="73"/>
      <c r="P252" s="73"/>
      <c r="Q252" s="73"/>
      <c r="R252" s="73"/>
      <c r="S252" s="73"/>
      <c r="T252" s="73"/>
      <c r="U252" s="74"/>
    </row>
    <row r="253" spans="2:21" s="15" customFormat="1" x14ac:dyDescent="0.25">
      <c r="B253" s="72" t="s">
        <v>3099</v>
      </c>
      <c r="C253" s="73"/>
      <c r="D253" s="73"/>
      <c r="E253" s="73"/>
      <c r="F253" s="73"/>
      <c r="G253" s="73"/>
      <c r="H253" s="73"/>
      <c r="I253" s="73"/>
      <c r="J253" s="73"/>
      <c r="K253" s="73"/>
      <c r="L253" s="73"/>
      <c r="M253" s="73"/>
      <c r="N253" s="73"/>
      <c r="O253" s="73"/>
      <c r="P253" s="73"/>
      <c r="Q253" s="73"/>
      <c r="R253" s="73"/>
      <c r="S253" s="73"/>
      <c r="T253" s="73"/>
      <c r="U253" s="74"/>
    </row>
    <row r="254" spans="2:21" s="15" customFormat="1" x14ac:dyDescent="0.25">
      <c r="B254" s="72" t="s">
        <v>3100</v>
      </c>
      <c r="C254" s="73"/>
      <c r="D254" s="73"/>
      <c r="E254" s="73"/>
      <c r="F254" s="73"/>
      <c r="G254" s="73"/>
      <c r="H254" s="73"/>
      <c r="I254" s="73"/>
      <c r="J254" s="73"/>
      <c r="K254" s="73"/>
      <c r="L254" s="73"/>
      <c r="M254" s="73"/>
      <c r="N254" s="73"/>
      <c r="O254" s="73"/>
      <c r="P254" s="73"/>
      <c r="Q254" s="73"/>
      <c r="R254" s="73"/>
      <c r="S254" s="73"/>
      <c r="T254" s="73"/>
      <c r="U254" s="74"/>
    </row>
    <row r="255" spans="2:21" s="15" customFormat="1" x14ac:dyDescent="0.25">
      <c r="B255" s="72" t="s">
        <v>3494</v>
      </c>
      <c r="C255" s="73"/>
      <c r="D255" s="73"/>
      <c r="E255" s="73"/>
      <c r="F255" s="73"/>
      <c r="G255" s="73"/>
      <c r="H255" s="73"/>
      <c r="I255" s="73"/>
      <c r="J255" s="73"/>
      <c r="K255" s="73"/>
      <c r="L255" s="73"/>
      <c r="M255" s="73"/>
      <c r="N255" s="73"/>
      <c r="O255" s="73"/>
      <c r="P255" s="73"/>
      <c r="Q255" s="73"/>
      <c r="R255" s="73"/>
      <c r="S255" s="73"/>
      <c r="T255" s="73"/>
      <c r="U255" s="74"/>
    </row>
    <row r="256" spans="2:21" s="15" customFormat="1" x14ac:dyDescent="0.25">
      <c r="B256" s="72" t="s">
        <v>3495</v>
      </c>
      <c r="C256" s="73"/>
      <c r="D256" s="73"/>
      <c r="E256" s="73"/>
      <c r="F256" s="73"/>
      <c r="G256" s="73"/>
      <c r="H256" s="73"/>
      <c r="I256" s="73"/>
      <c r="J256" s="73"/>
      <c r="K256" s="73"/>
      <c r="L256" s="73"/>
      <c r="M256" s="73"/>
      <c r="N256" s="73"/>
      <c r="O256" s="73"/>
      <c r="P256" s="73"/>
      <c r="Q256" s="73"/>
      <c r="R256" s="73"/>
      <c r="S256" s="73"/>
      <c r="T256" s="73"/>
      <c r="U256" s="74"/>
    </row>
    <row r="257" spans="2:21" s="15" customFormat="1" x14ac:dyDescent="0.25">
      <c r="B257" s="72" t="s">
        <v>3342</v>
      </c>
      <c r="C257" s="73"/>
      <c r="D257" s="73"/>
      <c r="E257" s="73"/>
      <c r="F257" s="73"/>
      <c r="G257" s="73"/>
      <c r="H257" s="73"/>
      <c r="I257" s="73"/>
      <c r="J257" s="73"/>
      <c r="K257" s="73"/>
      <c r="L257" s="73"/>
      <c r="M257" s="73"/>
      <c r="N257" s="73"/>
      <c r="O257" s="73"/>
      <c r="P257" s="73"/>
      <c r="Q257" s="73"/>
      <c r="R257" s="73"/>
      <c r="S257" s="73"/>
      <c r="T257" s="73"/>
      <c r="U257" s="74"/>
    </row>
    <row r="258" spans="2:21" s="15" customFormat="1" x14ac:dyDescent="0.25">
      <c r="B258" s="72" t="s">
        <v>3595</v>
      </c>
      <c r="C258" s="73"/>
      <c r="D258" s="73"/>
      <c r="E258" s="73"/>
      <c r="F258" s="73"/>
      <c r="G258" s="73"/>
      <c r="H258" s="73"/>
      <c r="I258" s="73"/>
      <c r="J258" s="73"/>
      <c r="K258" s="73"/>
      <c r="L258" s="73"/>
      <c r="M258" s="73"/>
      <c r="N258" s="73"/>
      <c r="O258" s="73"/>
      <c r="P258" s="73"/>
      <c r="Q258" s="73"/>
      <c r="R258" s="73"/>
      <c r="S258" s="73"/>
      <c r="T258" s="73"/>
      <c r="U258" s="74"/>
    </row>
    <row r="259" spans="2:21" s="15" customFormat="1" x14ac:dyDescent="0.25">
      <c r="B259" s="72" t="s">
        <v>3105</v>
      </c>
      <c r="C259" s="73"/>
      <c r="D259" s="73"/>
      <c r="E259" s="73"/>
      <c r="F259" s="73"/>
      <c r="G259" s="73"/>
      <c r="H259" s="73"/>
      <c r="I259" s="73"/>
      <c r="J259" s="73"/>
      <c r="K259" s="73"/>
      <c r="L259" s="73"/>
      <c r="M259" s="73"/>
      <c r="N259" s="73"/>
      <c r="O259" s="73"/>
      <c r="P259" s="73"/>
      <c r="Q259" s="73"/>
      <c r="R259" s="73"/>
      <c r="S259" s="73"/>
      <c r="T259" s="73"/>
      <c r="U259" s="74"/>
    </row>
    <row r="260" spans="2:21" s="15" customFormat="1" x14ac:dyDescent="0.25">
      <c r="B260" s="72" t="s">
        <v>3106</v>
      </c>
      <c r="C260" s="73"/>
      <c r="D260" s="73"/>
      <c r="E260" s="73"/>
      <c r="F260" s="73"/>
      <c r="G260" s="73"/>
      <c r="H260" s="73"/>
      <c r="I260" s="73"/>
      <c r="J260" s="73"/>
      <c r="K260" s="73"/>
      <c r="L260" s="73"/>
      <c r="M260" s="73"/>
      <c r="N260" s="73"/>
      <c r="O260" s="73"/>
      <c r="P260" s="73"/>
      <c r="Q260" s="73"/>
      <c r="R260" s="73"/>
      <c r="S260" s="73"/>
      <c r="T260" s="73"/>
      <c r="U260" s="74"/>
    </row>
    <row r="261" spans="2:21" s="15" customFormat="1" x14ac:dyDescent="0.25">
      <c r="B261" s="72" t="s">
        <v>3497</v>
      </c>
      <c r="C261" s="73"/>
      <c r="D261" s="73"/>
      <c r="E261" s="73"/>
      <c r="F261" s="73"/>
      <c r="G261" s="73"/>
      <c r="H261" s="73"/>
      <c r="I261" s="73"/>
      <c r="J261" s="73"/>
      <c r="K261" s="73"/>
      <c r="L261" s="73"/>
      <c r="M261" s="73"/>
      <c r="N261" s="73"/>
      <c r="O261" s="73"/>
      <c r="P261" s="73"/>
      <c r="Q261" s="73"/>
      <c r="R261" s="73"/>
      <c r="S261" s="73"/>
      <c r="T261" s="73"/>
      <c r="U261" s="74"/>
    </row>
    <row r="262" spans="2:21" s="15" customFormat="1" x14ac:dyDescent="0.25">
      <c r="B262" s="72" t="s">
        <v>3596</v>
      </c>
      <c r="C262" s="73"/>
      <c r="D262" s="73"/>
      <c r="E262" s="73"/>
      <c r="F262" s="73"/>
      <c r="G262" s="73"/>
      <c r="H262" s="73"/>
      <c r="I262" s="73"/>
      <c r="J262" s="73"/>
      <c r="K262" s="73"/>
      <c r="L262" s="73"/>
      <c r="M262" s="73"/>
      <c r="N262" s="73"/>
      <c r="O262" s="73"/>
      <c r="P262" s="73"/>
      <c r="Q262" s="73"/>
      <c r="R262" s="73"/>
      <c r="S262" s="73"/>
      <c r="T262" s="73"/>
      <c r="U262" s="74"/>
    </row>
    <row r="263" spans="2:21" s="15" customFormat="1" x14ac:dyDescent="0.25">
      <c r="B263" s="72" t="s">
        <v>3597</v>
      </c>
      <c r="C263" s="73"/>
      <c r="D263" s="73"/>
      <c r="E263" s="73"/>
      <c r="F263" s="73"/>
      <c r="G263" s="73"/>
      <c r="H263" s="73"/>
      <c r="I263" s="73"/>
      <c r="J263" s="73"/>
      <c r="K263" s="73"/>
      <c r="L263" s="73"/>
      <c r="M263" s="73"/>
      <c r="N263" s="73"/>
      <c r="O263" s="73"/>
      <c r="P263" s="73"/>
      <c r="Q263" s="73"/>
      <c r="R263" s="73"/>
      <c r="S263" s="73"/>
      <c r="T263" s="73"/>
      <c r="U263" s="74"/>
    </row>
    <row r="264" spans="2:21" s="15" customFormat="1" x14ac:dyDescent="0.25">
      <c r="B264" s="72" t="s">
        <v>3598</v>
      </c>
      <c r="C264" s="73"/>
      <c r="D264" s="73"/>
      <c r="E264" s="73"/>
      <c r="F264" s="73"/>
      <c r="G264" s="73"/>
      <c r="H264" s="73"/>
      <c r="I264" s="73"/>
      <c r="J264" s="73"/>
      <c r="K264" s="73"/>
      <c r="L264" s="73"/>
      <c r="M264" s="73"/>
      <c r="N264" s="73"/>
      <c r="O264" s="73"/>
      <c r="P264" s="73"/>
      <c r="Q264" s="73"/>
      <c r="R264" s="73"/>
      <c r="S264" s="73"/>
      <c r="T264" s="73"/>
      <c r="U264" s="74"/>
    </row>
    <row r="265" spans="2:21" s="15" customFormat="1" x14ac:dyDescent="0.25">
      <c r="B265" s="72" t="s">
        <v>3599</v>
      </c>
      <c r="C265" s="73"/>
      <c r="D265" s="73"/>
      <c r="E265" s="73"/>
      <c r="F265" s="73"/>
      <c r="G265" s="73"/>
      <c r="H265" s="73"/>
      <c r="I265" s="73"/>
      <c r="J265" s="73"/>
      <c r="K265" s="73"/>
      <c r="L265" s="73"/>
      <c r="M265" s="73"/>
      <c r="N265" s="73"/>
      <c r="O265" s="73"/>
      <c r="P265" s="73"/>
      <c r="Q265" s="73"/>
      <c r="R265" s="73"/>
      <c r="S265" s="73"/>
      <c r="T265" s="73"/>
      <c r="U265" s="74"/>
    </row>
    <row r="266" spans="2:21" s="15" customFormat="1" x14ac:dyDescent="0.25">
      <c r="B266" s="72" t="s">
        <v>3600</v>
      </c>
      <c r="C266" s="73"/>
      <c r="D266" s="73"/>
      <c r="E266" s="73"/>
      <c r="F266" s="73"/>
      <c r="G266" s="73"/>
      <c r="H266" s="73"/>
      <c r="I266" s="73"/>
      <c r="J266" s="73"/>
      <c r="K266" s="73"/>
      <c r="L266" s="73"/>
      <c r="M266" s="73"/>
      <c r="N266" s="73"/>
      <c r="O266" s="73"/>
      <c r="P266" s="73"/>
      <c r="Q266" s="73"/>
      <c r="R266" s="73"/>
      <c r="S266" s="73"/>
      <c r="T266" s="73"/>
      <c r="U266" s="74"/>
    </row>
    <row r="267" spans="2:21" s="15" customFormat="1" x14ac:dyDescent="0.25">
      <c r="B267" s="72" t="s">
        <v>3601</v>
      </c>
      <c r="C267" s="73"/>
      <c r="D267" s="73"/>
      <c r="E267" s="73"/>
      <c r="F267" s="73"/>
      <c r="G267" s="73"/>
      <c r="H267" s="73"/>
      <c r="I267" s="73"/>
      <c r="J267" s="73"/>
      <c r="K267" s="73"/>
      <c r="L267" s="73"/>
      <c r="M267" s="73"/>
      <c r="N267" s="73"/>
      <c r="O267" s="73"/>
      <c r="P267" s="73"/>
      <c r="Q267" s="73"/>
      <c r="R267" s="73"/>
      <c r="S267" s="73"/>
      <c r="T267" s="73"/>
      <c r="U267" s="74"/>
    </row>
    <row r="268" spans="2:21" s="15" customFormat="1" x14ac:dyDescent="0.25">
      <c r="B268" s="72" t="s">
        <v>3602</v>
      </c>
      <c r="C268" s="73"/>
      <c r="D268" s="73"/>
      <c r="E268" s="73"/>
      <c r="F268" s="73"/>
      <c r="G268" s="73"/>
      <c r="H268" s="73"/>
      <c r="I268" s="73"/>
      <c r="J268" s="73"/>
      <c r="K268" s="73"/>
      <c r="L268" s="73"/>
      <c r="M268" s="73"/>
      <c r="N268" s="73"/>
      <c r="O268" s="73"/>
      <c r="P268" s="73"/>
      <c r="Q268" s="73"/>
      <c r="R268" s="73"/>
      <c r="S268" s="73"/>
      <c r="T268" s="73"/>
      <c r="U268" s="74"/>
    </row>
    <row r="269" spans="2:21" s="15" customFormat="1" x14ac:dyDescent="0.25">
      <c r="B269" s="72" t="s">
        <v>3603</v>
      </c>
      <c r="C269" s="73"/>
      <c r="D269" s="73"/>
      <c r="E269" s="73"/>
      <c r="F269" s="73"/>
      <c r="G269" s="73"/>
      <c r="H269" s="73"/>
      <c r="I269" s="73"/>
      <c r="J269" s="73"/>
      <c r="K269" s="73"/>
      <c r="L269" s="73"/>
      <c r="M269" s="73"/>
      <c r="N269" s="73"/>
      <c r="O269" s="73"/>
      <c r="P269" s="73"/>
      <c r="Q269" s="73"/>
      <c r="R269" s="73"/>
      <c r="S269" s="73"/>
      <c r="T269" s="73"/>
      <c r="U269" s="74"/>
    </row>
    <row r="270" spans="2:21" s="15" customFormat="1" x14ac:dyDescent="0.25">
      <c r="B270" s="72" t="s">
        <v>3604</v>
      </c>
      <c r="C270" s="73"/>
      <c r="D270" s="73"/>
      <c r="E270" s="73"/>
      <c r="F270" s="73"/>
      <c r="G270" s="73"/>
      <c r="H270" s="73"/>
      <c r="I270" s="73"/>
      <c r="J270" s="73"/>
      <c r="K270" s="73"/>
      <c r="L270" s="73"/>
      <c r="M270" s="73"/>
      <c r="N270" s="73"/>
      <c r="O270" s="73"/>
      <c r="P270" s="73"/>
      <c r="Q270" s="73"/>
      <c r="R270" s="73"/>
      <c r="S270" s="73"/>
      <c r="T270" s="73"/>
      <c r="U270" s="74"/>
    </row>
    <row r="271" spans="2:21" s="15" customFormat="1" x14ac:dyDescent="0.25">
      <c r="B271" s="72" t="s">
        <v>3605</v>
      </c>
      <c r="C271" s="73"/>
      <c r="D271" s="73"/>
      <c r="E271" s="73"/>
      <c r="F271" s="73"/>
      <c r="G271" s="73"/>
      <c r="H271" s="73"/>
      <c r="I271" s="73"/>
      <c r="J271" s="73"/>
      <c r="K271" s="73"/>
      <c r="L271" s="73"/>
      <c r="M271" s="73"/>
      <c r="N271" s="73"/>
      <c r="O271" s="73"/>
      <c r="P271" s="73"/>
      <c r="Q271" s="73"/>
      <c r="R271" s="73"/>
      <c r="S271" s="73"/>
      <c r="T271" s="73"/>
      <c r="U271" s="74"/>
    </row>
    <row r="272" spans="2:21" s="15" customFormat="1" x14ac:dyDescent="0.25">
      <c r="B272" s="72" t="s">
        <v>3353</v>
      </c>
      <c r="C272" s="73"/>
      <c r="D272" s="73"/>
      <c r="E272" s="73"/>
      <c r="F272" s="73"/>
      <c r="G272" s="73"/>
      <c r="H272" s="73"/>
      <c r="I272" s="73"/>
      <c r="J272" s="73"/>
      <c r="K272" s="73"/>
      <c r="L272" s="73"/>
      <c r="M272" s="73"/>
      <c r="N272" s="73"/>
      <c r="O272" s="73"/>
      <c r="P272" s="73"/>
      <c r="Q272" s="73"/>
      <c r="R272" s="73"/>
      <c r="S272" s="73"/>
      <c r="T272" s="73"/>
      <c r="U272" s="74"/>
    </row>
    <row r="273" spans="2:21" s="15" customFormat="1" x14ac:dyDescent="0.25">
      <c r="B273" s="72" t="s">
        <v>3058</v>
      </c>
      <c r="C273" s="73"/>
      <c r="D273" s="73"/>
      <c r="E273" s="73"/>
      <c r="F273" s="73"/>
      <c r="G273" s="73"/>
      <c r="H273" s="73"/>
      <c r="I273" s="73"/>
      <c r="J273" s="73"/>
      <c r="K273" s="73"/>
      <c r="L273" s="73"/>
      <c r="M273" s="73"/>
      <c r="N273" s="73"/>
      <c r="O273" s="73"/>
      <c r="P273" s="73"/>
      <c r="Q273" s="73"/>
      <c r="R273" s="73"/>
      <c r="S273" s="73"/>
      <c r="T273" s="73"/>
      <c r="U273" s="74"/>
    </row>
    <row r="274" spans="2:21" s="15" customFormat="1" x14ac:dyDescent="0.25">
      <c r="B274" s="72" t="s">
        <v>3507</v>
      </c>
      <c r="C274" s="73"/>
      <c r="D274" s="73"/>
      <c r="E274" s="73"/>
      <c r="F274" s="73"/>
      <c r="G274" s="73"/>
      <c r="H274" s="73"/>
      <c r="I274" s="73"/>
      <c r="J274" s="73"/>
      <c r="K274" s="73"/>
      <c r="L274" s="73"/>
      <c r="M274" s="73"/>
      <c r="N274" s="73"/>
      <c r="O274" s="73"/>
      <c r="P274" s="73"/>
      <c r="Q274" s="73"/>
      <c r="R274" s="73"/>
      <c r="S274" s="73"/>
      <c r="T274" s="73"/>
      <c r="U274" s="74"/>
    </row>
    <row r="275" spans="2:21" s="15" customFormat="1" x14ac:dyDescent="0.25">
      <c r="B275" s="72" t="s">
        <v>3606</v>
      </c>
      <c r="C275" s="73"/>
      <c r="D275" s="73"/>
      <c r="E275" s="73"/>
      <c r="F275" s="73"/>
      <c r="G275" s="73"/>
      <c r="H275" s="73"/>
      <c r="I275" s="73"/>
      <c r="J275" s="73"/>
      <c r="K275" s="73"/>
      <c r="L275" s="73"/>
      <c r="M275" s="73"/>
      <c r="N275" s="73"/>
      <c r="O275" s="73"/>
      <c r="P275" s="73"/>
      <c r="Q275" s="73"/>
      <c r="R275" s="73"/>
      <c r="S275" s="73"/>
      <c r="T275" s="73"/>
      <c r="U275" s="74"/>
    </row>
    <row r="276" spans="2:21" s="15" customFormat="1" x14ac:dyDescent="0.25">
      <c r="B276" s="72" t="s">
        <v>3509</v>
      </c>
      <c r="C276" s="73"/>
      <c r="D276" s="73"/>
      <c r="E276" s="73"/>
      <c r="F276" s="73"/>
      <c r="G276" s="73"/>
      <c r="H276" s="73"/>
      <c r="I276" s="73"/>
      <c r="J276" s="73"/>
      <c r="K276" s="73"/>
      <c r="L276" s="73"/>
      <c r="M276" s="73"/>
      <c r="N276" s="73"/>
      <c r="O276" s="73"/>
      <c r="P276" s="73"/>
      <c r="Q276" s="73"/>
      <c r="R276" s="73"/>
      <c r="S276" s="73"/>
      <c r="T276" s="73"/>
      <c r="U276" s="74"/>
    </row>
    <row r="277" spans="2:21" s="15" customFormat="1" x14ac:dyDescent="0.25">
      <c r="B277" s="72" t="s">
        <v>3510</v>
      </c>
      <c r="C277" s="73"/>
      <c r="D277" s="73"/>
      <c r="E277" s="73"/>
      <c r="F277" s="73"/>
      <c r="G277" s="73"/>
      <c r="H277" s="73"/>
      <c r="I277" s="73"/>
      <c r="J277" s="73"/>
      <c r="K277" s="73"/>
      <c r="L277" s="73"/>
      <c r="M277" s="73"/>
      <c r="N277" s="73"/>
      <c r="O277" s="73"/>
      <c r="P277" s="73"/>
      <c r="Q277" s="73"/>
      <c r="R277" s="73"/>
      <c r="S277" s="73"/>
      <c r="T277" s="73"/>
      <c r="U277" s="74"/>
    </row>
    <row r="278" spans="2:21" s="15" customFormat="1" x14ac:dyDescent="0.25">
      <c r="B278" s="72" t="s">
        <v>3607</v>
      </c>
      <c r="C278" s="73"/>
      <c r="D278" s="73"/>
      <c r="E278" s="73"/>
      <c r="F278" s="73"/>
      <c r="G278" s="73"/>
      <c r="H278" s="73"/>
      <c r="I278" s="73"/>
      <c r="J278" s="73"/>
      <c r="K278" s="73"/>
      <c r="L278" s="73"/>
      <c r="M278" s="73"/>
      <c r="N278" s="73"/>
      <c r="O278" s="73"/>
      <c r="P278" s="73"/>
      <c r="Q278" s="73"/>
      <c r="R278" s="73"/>
      <c r="S278" s="73"/>
      <c r="T278" s="73"/>
      <c r="U278" s="74"/>
    </row>
    <row r="279" spans="2:21" s="15" customFormat="1" x14ac:dyDescent="0.25">
      <c r="B279" s="72" t="s">
        <v>3608</v>
      </c>
      <c r="C279" s="73"/>
      <c r="D279" s="73"/>
      <c r="E279" s="73"/>
      <c r="F279" s="73"/>
      <c r="G279" s="73"/>
      <c r="H279" s="73"/>
      <c r="I279" s="73"/>
      <c r="J279" s="73"/>
      <c r="K279" s="73"/>
      <c r="L279" s="73"/>
      <c r="M279" s="73"/>
      <c r="N279" s="73"/>
      <c r="O279" s="73"/>
      <c r="P279" s="73"/>
      <c r="Q279" s="73"/>
      <c r="R279" s="73"/>
      <c r="S279" s="73"/>
      <c r="T279" s="73"/>
      <c r="U279" s="74"/>
    </row>
    <row r="280" spans="2:21" s="15" customFormat="1" x14ac:dyDescent="0.25">
      <c r="B280" s="72" t="s">
        <v>3609</v>
      </c>
      <c r="C280" s="73"/>
      <c r="D280" s="73"/>
      <c r="E280" s="73"/>
      <c r="F280" s="73"/>
      <c r="G280" s="73"/>
      <c r="H280" s="73"/>
      <c r="I280" s="73"/>
      <c r="J280" s="73"/>
      <c r="K280" s="73"/>
      <c r="L280" s="73"/>
      <c r="M280" s="73"/>
      <c r="N280" s="73"/>
      <c r="O280" s="73"/>
      <c r="P280" s="73"/>
      <c r="Q280" s="73"/>
      <c r="R280" s="73"/>
      <c r="S280" s="73"/>
      <c r="T280" s="73"/>
      <c r="U280" s="74"/>
    </row>
    <row r="281" spans="2:21" s="15" customFormat="1" x14ac:dyDescent="0.25">
      <c r="B281" s="72" t="s">
        <v>3610</v>
      </c>
      <c r="C281" s="73"/>
      <c r="D281" s="73"/>
      <c r="E281" s="73"/>
      <c r="F281" s="73"/>
      <c r="G281" s="73"/>
      <c r="H281" s="73"/>
      <c r="I281" s="73"/>
      <c r="J281" s="73"/>
      <c r="K281" s="73"/>
      <c r="L281" s="73"/>
      <c r="M281" s="73"/>
      <c r="N281" s="73"/>
      <c r="O281" s="73"/>
      <c r="P281" s="73"/>
      <c r="Q281" s="73"/>
      <c r="R281" s="73"/>
      <c r="S281" s="73"/>
      <c r="T281" s="73"/>
      <c r="U281" s="74"/>
    </row>
    <row r="282" spans="2:21" s="15" customFormat="1" x14ac:dyDescent="0.25">
      <c r="B282" s="72" t="s">
        <v>3611</v>
      </c>
      <c r="C282" s="73"/>
      <c r="D282" s="73"/>
      <c r="E282" s="73"/>
      <c r="F282" s="73"/>
      <c r="G282" s="73"/>
      <c r="H282" s="73"/>
      <c r="I282" s="73"/>
      <c r="J282" s="73"/>
      <c r="K282" s="73"/>
      <c r="L282" s="73"/>
      <c r="M282" s="73"/>
      <c r="N282" s="73"/>
      <c r="O282" s="73"/>
      <c r="P282" s="73"/>
      <c r="Q282" s="73"/>
      <c r="R282" s="73"/>
      <c r="S282" s="73"/>
      <c r="T282" s="73"/>
      <c r="U282" s="74"/>
    </row>
    <row r="283" spans="2:21" s="15" customFormat="1" x14ac:dyDescent="0.25">
      <c r="B283" s="72" t="s">
        <v>3612</v>
      </c>
      <c r="C283" s="73"/>
      <c r="D283" s="73"/>
      <c r="E283" s="73"/>
      <c r="F283" s="73"/>
      <c r="G283" s="73"/>
      <c r="H283" s="73"/>
      <c r="I283" s="73"/>
      <c r="J283" s="73"/>
      <c r="K283" s="73"/>
      <c r="L283" s="73"/>
      <c r="M283" s="73"/>
      <c r="N283" s="73"/>
      <c r="O283" s="73"/>
      <c r="P283" s="73"/>
      <c r="Q283" s="73"/>
      <c r="R283" s="73"/>
      <c r="S283" s="73"/>
      <c r="T283" s="73"/>
      <c r="U283" s="74"/>
    </row>
    <row r="284" spans="2:21" s="15" customFormat="1" x14ac:dyDescent="0.25">
      <c r="B284" s="72" t="s">
        <v>3517</v>
      </c>
      <c r="C284" s="73"/>
      <c r="D284" s="73"/>
      <c r="E284" s="73"/>
      <c r="F284" s="73"/>
      <c r="G284" s="73"/>
      <c r="H284" s="73"/>
      <c r="I284" s="73"/>
      <c r="J284" s="73"/>
      <c r="K284" s="73"/>
      <c r="L284" s="73"/>
      <c r="M284" s="73"/>
      <c r="N284" s="73"/>
      <c r="O284" s="73"/>
      <c r="P284" s="73"/>
      <c r="Q284" s="73"/>
      <c r="R284" s="73"/>
      <c r="S284" s="73"/>
      <c r="T284" s="73"/>
      <c r="U284" s="74"/>
    </row>
    <row r="285" spans="2:21" s="15" customFormat="1" x14ac:dyDescent="0.25">
      <c r="B285" s="72" t="s">
        <v>3613</v>
      </c>
      <c r="C285" s="73"/>
      <c r="D285" s="73"/>
      <c r="E285" s="73"/>
      <c r="F285" s="73"/>
      <c r="G285" s="73"/>
      <c r="H285" s="73"/>
      <c r="I285" s="73"/>
      <c r="J285" s="73"/>
      <c r="K285" s="73"/>
      <c r="L285" s="73"/>
      <c r="M285" s="73"/>
      <c r="N285" s="73"/>
      <c r="O285" s="73"/>
      <c r="P285" s="73"/>
      <c r="Q285" s="73"/>
      <c r="R285" s="73"/>
      <c r="S285" s="73"/>
      <c r="T285" s="73"/>
      <c r="U285" s="74"/>
    </row>
    <row r="286" spans="2:21" s="15" customFormat="1" x14ac:dyDescent="0.25">
      <c r="B286" s="72" t="s">
        <v>3614</v>
      </c>
      <c r="C286" s="73"/>
      <c r="D286" s="73"/>
      <c r="E286" s="73"/>
      <c r="F286" s="73"/>
      <c r="G286" s="73"/>
      <c r="H286" s="73"/>
      <c r="I286" s="73"/>
      <c r="J286" s="73"/>
      <c r="K286" s="73"/>
      <c r="L286" s="73"/>
      <c r="M286" s="73"/>
      <c r="N286" s="73"/>
      <c r="O286" s="73"/>
      <c r="P286" s="73"/>
      <c r="Q286" s="73"/>
      <c r="R286" s="73"/>
      <c r="S286" s="73"/>
      <c r="T286" s="73"/>
      <c r="U286" s="74"/>
    </row>
    <row r="287" spans="2:21" s="15" customFormat="1" x14ac:dyDescent="0.25">
      <c r="B287" s="72" t="s">
        <v>3615</v>
      </c>
      <c r="C287" s="73"/>
      <c r="D287" s="73"/>
      <c r="E287" s="73"/>
      <c r="F287" s="73"/>
      <c r="G287" s="73"/>
      <c r="H287" s="73"/>
      <c r="I287" s="73"/>
      <c r="J287" s="73"/>
      <c r="K287" s="73"/>
      <c r="L287" s="73"/>
      <c r="M287" s="73"/>
      <c r="N287" s="73"/>
      <c r="O287" s="73"/>
      <c r="P287" s="73"/>
      <c r="Q287" s="73"/>
      <c r="R287" s="73"/>
      <c r="S287" s="73"/>
      <c r="T287" s="73"/>
      <c r="U287" s="74"/>
    </row>
    <row r="288" spans="2:21" s="15" customFormat="1" x14ac:dyDescent="0.25">
      <c r="B288" s="72" t="s">
        <v>3616</v>
      </c>
      <c r="C288" s="73"/>
      <c r="D288" s="73"/>
      <c r="E288" s="73"/>
      <c r="F288" s="73"/>
      <c r="G288" s="73"/>
      <c r="H288" s="73"/>
      <c r="I288" s="73"/>
      <c r="J288" s="73"/>
      <c r="K288" s="73"/>
      <c r="L288" s="73"/>
      <c r="M288" s="73"/>
      <c r="N288" s="73"/>
      <c r="O288" s="73"/>
      <c r="P288" s="73"/>
      <c r="Q288" s="73"/>
      <c r="R288" s="73"/>
      <c r="S288" s="73"/>
      <c r="T288" s="73"/>
      <c r="U288" s="74"/>
    </row>
    <row r="289" spans="2:21" s="15" customFormat="1" x14ac:dyDescent="0.25">
      <c r="B289" s="72" t="s">
        <v>3617</v>
      </c>
      <c r="C289" s="73"/>
      <c r="D289" s="73"/>
      <c r="E289" s="73"/>
      <c r="F289" s="73"/>
      <c r="G289" s="73"/>
      <c r="H289" s="73"/>
      <c r="I289" s="73"/>
      <c r="J289" s="73"/>
      <c r="K289" s="73"/>
      <c r="L289" s="73"/>
      <c r="M289" s="73"/>
      <c r="N289" s="73"/>
      <c r="O289" s="73"/>
      <c r="P289" s="73"/>
      <c r="Q289" s="73"/>
      <c r="R289" s="73"/>
      <c r="S289" s="73"/>
      <c r="T289" s="73"/>
      <c r="U289" s="74"/>
    </row>
    <row r="290" spans="2:21" s="15" customFormat="1" x14ac:dyDescent="0.25">
      <c r="B290" s="72" t="s">
        <v>3599</v>
      </c>
      <c r="C290" s="73"/>
      <c r="D290" s="73"/>
      <c r="E290" s="73"/>
      <c r="F290" s="73"/>
      <c r="G290" s="73"/>
      <c r="H290" s="73"/>
      <c r="I290" s="73"/>
      <c r="J290" s="73"/>
      <c r="K290" s="73"/>
      <c r="L290" s="73"/>
      <c r="M290" s="73"/>
      <c r="N290" s="73"/>
      <c r="O290" s="73"/>
      <c r="P290" s="73"/>
      <c r="Q290" s="73"/>
      <c r="R290" s="73"/>
      <c r="S290" s="73"/>
      <c r="T290" s="73"/>
      <c r="U290" s="74"/>
    </row>
    <row r="291" spans="2:21" s="15" customFormat="1" x14ac:dyDescent="0.25">
      <c r="B291" s="72" t="s">
        <v>3618</v>
      </c>
      <c r="C291" s="73"/>
      <c r="D291" s="73"/>
      <c r="E291" s="73"/>
      <c r="F291" s="73"/>
      <c r="G291" s="73"/>
      <c r="H291" s="73"/>
      <c r="I291" s="73"/>
      <c r="J291" s="73"/>
      <c r="K291" s="73"/>
      <c r="L291" s="73"/>
      <c r="M291" s="73"/>
      <c r="N291" s="73"/>
      <c r="O291" s="73"/>
      <c r="P291" s="73"/>
      <c r="Q291" s="73"/>
      <c r="R291" s="73"/>
      <c r="S291" s="73"/>
      <c r="T291" s="73"/>
      <c r="U291" s="74"/>
    </row>
    <row r="292" spans="2:21" s="15" customFormat="1" x14ac:dyDescent="0.25">
      <c r="B292" s="72" t="s">
        <v>3524</v>
      </c>
      <c r="C292" s="73"/>
      <c r="D292" s="73"/>
      <c r="E292" s="73"/>
      <c r="F292" s="73"/>
      <c r="G292" s="73"/>
      <c r="H292" s="73"/>
      <c r="I292" s="73"/>
      <c r="J292" s="73"/>
      <c r="K292" s="73"/>
      <c r="L292" s="73"/>
      <c r="M292" s="73"/>
      <c r="N292" s="73"/>
      <c r="O292" s="73"/>
      <c r="P292" s="73"/>
      <c r="Q292" s="73"/>
      <c r="R292" s="73"/>
      <c r="S292" s="73"/>
      <c r="T292" s="73"/>
      <c r="U292" s="74"/>
    </row>
    <row r="293" spans="2:21" s="15" customFormat="1" x14ac:dyDescent="0.25">
      <c r="B293" s="72" t="s">
        <v>3525</v>
      </c>
      <c r="C293" s="73"/>
      <c r="D293" s="73"/>
      <c r="E293" s="73"/>
      <c r="F293" s="73"/>
      <c r="G293" s="73"/>
      <c r="H293" s="73"/>
      <c r="I293" s="73"/>
      <c r="J293" s="73"/>
      <c r="K293" s="73"/>
      <c r="L293" s="73"/>
      <c r="M293" s="73"/>
      <c r="N293" s="73"/>
      <c r="O293" s="73"/>
      <c r="P293" s="73"/>
      <c r="Q293" s="73"/>
      <c r="R293" s="73"/>
      <c r="S293" s="73"/>
      <c r="T293" s="73"/>
      <c r="U293" s="74"/>
    </row>
    <row r="294" spans="2:21" s="15" customFormat="1" x14ac:dyDescent="0.25">
      <c r="B294" s="72" t="s">
        <v>3526</v>
      </c>
      <c r="C294" s="73"/>
      <c r="D294" s="73"/>
      <c r="E294" s="73"/>
      <c r="F294" s="73"/>
      <c r="G294" s="73"/>
      <c r="H294" s="73"/>
      <c r="I294" s="73"/>
      <c r="J294" s="73"/>
      <c r="K294" s="73"/>
      <c r="L294" s="73"/>
      <c r="M294" s="73"/>
      <c r="N294" s="73"/>
      <c r="O294" s="73"/>
      <c r="P294" s="73"/>
      <c r="Q294" s="73"/>
      <c r="R294" s="73"/>
      <c r="S294" s="73"/>
      <c r="T294" s="73"/>
      <c r="U294" s="74"/>
    </row>
    <row r="295" spans="2:21" s="15" customFormat="1" x14ac:dyDescent="0.25">
      <c r="B295" s="72" t="s">
        <v>3619</v>
      </c>
      <c r="C295" s="73"/>
      <c r="D295" s="73"/>
      <c r="E295" s="73"/>
      <c r="F295" s="73"/>
      <c r="G295" s="73"/>
      <c r="H295" s="73"/>
      <c r="I295" s="73"/>
      <c r="J295" s="73"/>
      <c r="K295" s="73"/>
      <c r="L295" s="73"/>
      <c r="M295" s="73"/>
      <c r="N295" s="73"/>
      <c r="O295" s="73"/>
      <c r="P295" s="73"/>
      <c r="Q295" s="73"/>
      <c r="R295" s="73"/>
      <c r="S295" s="73"/>
      <c r="T295" s="73"/>
      <c r="U295" s="74"/>
    </row>
    <row r="296" spans="2:21" s="15" customFormat="1" x14ac:dyDescent="0.25">
      <c r="B296" s="72" t="s">
        <v>3058</v>
      </c>
      <c r="C296" s="73"/>
      <c r="D296" s="73"/>
      <c r="E296" s="73"/>
      <c r="F296" s="73"/>
      <c r="G296" s="73"/>
      <c r="H296" s="73"/>
      <c r="I296" s="73"/>
      <c r="J296" s="73"/>
      <c r="K296" s="73"/>
      <c r="L296" s="73"/>
      <c r="M296" s="73"/>
      <c r="N296" s="73"/>
      <c r="O296" s="73"/>
      <c r="P296" s="73"/>
      <c r="Q296" s="73"/>
      <c r="R296" s="73"/>
      <c r="S296" s="73"/>
      <c r="T296" s="73"/>
      <c r="U296" s="74"/>
    </row>
    <row r="297" spans="2:21" s="15" customFormat="1" x14ac:dyDescent="0.25">
      <c r="B297" s="72" t="s">
        <v>3162</v>
      </c>
      <c r="C297" s="73"/>
      <c r="D297" s="73"/>
      <c r="E297" s="73"/>
      <c r="F297" s="73"/>
      <c r="G297" s="73"/>
      <c r="H297" s="73"/>
      <c r="I297" s="73"/>
      <c r="J297" s="73"/>
      <c r="K297" s="73"/>
      <c r="L297" s="73"/>
      <c r="M297" s="73"/>
      <c r="N297" s="73"/>
      <c r="O297" s="73"/>
      <c r="P297" s="73"/>
      <c r="Q297" s="73"/>
      <c r="R297" s="73"/>
      <c r="S297" s="73"/>
      <c r="T297" s="73"/>
      <c r="U297" s="74"/>
    </row>
    <row r="298" spans="2:21" s="15" customFormat="1" x14ac:dyDescent="0.25">
      <c r="B298" s="72" t="s">
        <v>3085</v>
      </c>
      <c r="C298" s="73"/>
      <c r="D298" s="73"/>
      <c r="E298" s="73"/>
      <c r="F298" s="73"/>
      <c r="G298" s="73"/>
      <c r="H298" s="73"/>
      <c r="I298" s="73"/>
      <c r="J298" s="73"/>
      <c r="K298" s="73"/>
      <c r="L298" s="73"/>
      <c r="M298" s="73"/>
      <c r="N298" s="73"/>
      <c r="O298" s="73"/>
      <c r="P298" s="73"/>
      <c r="Q298" s="73"/>
      <c r="R298" s="73"/>
      <c r="S298" s="73"/>
      <c r="T298" s="73"/>
      <c r="U298" s="74"/>
    </row>
    <row r="299" spans="2:21" s="15" customFormat="1" x14ac:dyDescent="0.25">
      <c r="B299" s="72" t="s">
        <v>3163</v>
      </c>
      <c r="C299" s="73"/>
      <c r="D299" s="73"/>
      <c r="E299" s="73"/>
      <c r="F299" s="73"/>
      <c r="G299" s="73"/>
      <c r="H299" s="73"/>
      <c r="I299" s="73"/>
      <c r="J299" s="73"/>
      <c r="K299" s="73"/>
      <c r="L299" s="73"/>
      <c r="M299" s="73"/>
      <c r="N299" s="73"/>
      <c r="O299" s="73"/>
      <c r="P299" s="73"/>
      <c r="Q299" s="73"/>
      <c r="R299" s="73"/>
      <c r="S299" s="73"/>
      <c r="T299" s="73"/>
      <c r="U299" s="74"/>
    </row>
    <row r="300" spans="2:21" s="15" customFormat="1" x14ac:dyDescent="0.25">
      <c r="B300" s="72" t="s">
        <v>3620</v>
      </c>
      <c r="C300" s="73"/>
      <c r="D300" s="73"/>
      <c r="E300" s="73"/>
      <c r="F300" s="73"/>
      <c r="G300" s="73"/>
      <c r="H300" s="73"/>
      <c r="I300" s="73"/>
      <c r="J300" s="73"/>
      <c r="K300" s="73"/>
      <c r="L300" s="73"/>
      <c r="M300" s="73"/>
      <c r="N300" s="73"/>
      <c r="O300" s="73"/>
      <c r="P300" s="73"/>
      <c r="Q300" s="73"/>
      <c r="R300" s="73"/>
      <c r="S300" s="73"/>
      <c r="T300" s="73"/>
      <c r="U300" s="74"/>
    </row>
    <row r="301" spans="2:21" s="15" customFormat="1" x14ac:dyDescent="0.25">
      <c r="B301" s="72" t="s">
        <v>3083</v>
      </c>
      <c r="C301" s="73"/>
      <c r="D301" s="73"/>
      <c r="E301" s="73"/>
      <c r="F301" s="73"/>
      <c r="G301" s="73"/>
      <c r="H301" s="73"/>
      <c r="I301" s="73"/>
      <c r="J301" s="73"/>
      <c r="K301" s="73"/>
      <c r="L301" s="73"/>
      <c r="M301" s="73"/>
      <c r="N301" s="73"/>
      <c r="O301" s="73"/>
      <c r="P301" s="73"/>
      <c r="Q301" s="73"/>
      <c r="R301" s="73"/>
      <c r="S301" s="73"/>
      <c r="T301" s="73"/>
      <c r="U301" s="74"/>
    </row>
    <row r="302" spans="2:21" s="15" customFormat="1" x14ac:dyDescent="0.25">
      <c r="B302" s="72" t="s">
        <v>3093</v>
      </c>
      <c r="C302" s="73"/>
      <c r="D302" s="73"/>
      <c r="E302" s="73"/>
      <c r="F302" s="73"/>
      <c r="G302" s="73"/>
      <c r="H302" s="73"/>
      <c r="I302" s="73"/>
      <c r="J302" s="73"/>
      <c r="K302" s="73"/>
      <c r="L302" s="73"/>
      <c r="M302" s="73"/>
      <c r="N302" s="73"/>
      <c r="O302" s="73"/>
      <c r="P302" s="73"/>
      <c r="Q302" s="73"/>
      <c r="R302" s="73"/>
      <c r="S302" s="73"/>
      <c r="T302" s="73"/>
      <c r="U302" s="74"/>
    </row>
    <row r="303" spans="2:21" s="15" customFormat="1" x14ac:dyDescent="0.25">
      <c r="B303" s="72" t="s">
        <v>3165</v>
      </c>
      <c r="C303" s="73"/>
      <c r="D303" s="73"/>
      <c r="E303" s="73"/>
      <c r="F303" s="73"/>
      <c r="G303" s="73"/>
      <c r="H303" s="73"/>
      <c r="I303" s="73"/>
      <c r="J303" s="73"/>
      <c r="K303" s="73"/>
      <c r="L303" s="73"/>
      <c r="M303" s="73"/>
      <c r="N303" s="73"/>
      <c r="O303" s="73"/>
      <c r="P303" s="73"/>
      <c r="Q303" s="73"/>
      <c r="R303" s="73"/>
      <c r="S303" s="73"/>
      <c r="T303" s="73"/>
      <c r="U303" s="74"/>
    </row>
    <row r="304" spans="2:21" s="15" customFormat="1" x14ac:dyDescent="0.25">
      <c r="B304" s="72" t="s">
        <v>3085</v>
      </c>
      <c r="C304" s="73"/>
      <c r="D304" s="73"/>
      <c r="E304" s="73"/>
      <c r="F304" s="73"/>
      <c r="G304" s="73"/>
      <c r="H304" s="73"/>
      <c r="I304" s="73"/>
      <c r="J304" s="73"/>
      <c r="K304" s="73"/>
      <c r="L304" s="73"/>
      <c r="M304" s="73"/>
      <c r="N304" s="73"/>
      <c r="O304" s="73"/>
      <c r="P304" s="73"/>
      <c r="Q304" s="73"/>
      <c r="R304" s="73"/>
      <c r="S304" s="73"/>
      <c r="T304" s="73"/>
      <c r="U304" s="74"/>
    </row>
    <row r="305" spans="2:21" s="15" customFormat="1" x14ac:dyDescent="0.25">
      <c r="B305" s="72" t="s">
        <v>3621</v>
      </c>
      <c r="C305" s="73"/>
      <c r="D305" s="73"/>
      <c r="E305" s="73"/>
      <c r="F305" s="73"/>
      <c r="G305" s="73"/>
      <c r="H305" s="73"/>
      <c r="I305" s="73"/>
      <c r="J305" s="73"/>
      <c r="K305" s="73"/>
      <c r="L305" s="73"/>
      <c r="M305" s="73"/>
      <c r="N305" s="73"/>
      <c r="O305" s="73"/>
      <c r="P305" s="73"/>
      <c r="Q305" s="73"/>
      <c r="R305" s="73"/>
      <c r="S305" s="73"/>
      <c r="T305" s="73"/>
      <c r="U305" s="74"/>
    </row>
    <row r="306" spans="2:21" s="15" customFormat="1" x14ac:dyDescent="0.25">
      <c r="B306" s="72" t="s">
        <v>3183</v>
      </c>
      <c r="C306" s="73"/>
      <c r="D306" s="73"/>
      <c r="E306" s="73"/>
      <c r="F306" s="73"/>
      <c r="G306" s="73"/>
      <c r="H306" s="73"/>
      <c r="I306" s="73"/>
      <c r="J306" s="73"/>
      <c r="K306" s="73"/>
      <c r="L306" s="73"/>
      <c r="M306" s="73"/>
      <c r="N306" s="73"/>
      <c r="O306" s="73"/>
      <c r="P306" s="73"/>
      <c r="Q306" s="73"/>
      <c r="R306" s="73"/>
      <c r="S306" s="73"/>
      <c r="T306" s="73"/>
      <c r="U306" s="74"/>
    </row>
    <row r="307" spans="2:21" s="15" customFormat="1" x14ac:dyDescent="0.25">
      <c r="B307" s="72" t="s">
        <v>3168</v>
      </c>
      <c r="C307" s="73"/>
      <c r="D307" s="73"/>
      <c r="E307" s="73"/>
      <c r="F307" s="73"/>
      <c r="G307" s="73"/>
      <c r="H307" s="73"/>
      <c r="I307" s="73"/>
      <c r="J307" s="73"/>
      <c r="K307" s="73"/>
      <c r="L307" s="73"/>
      <c r="M307" s="73"/>
      <c r="N307" s="73"/>
      <c r="O307" s="73"/>
      <c r="P307" s="73"/>
      <c r="Q307" s="73"/>
      <c r="R307" s="73"/>
      <c r="S307" s="73"/>
      <c r="T307" s="73"/>
      <c r="U307" s="74"/>
    </row>
    <row r="308" spans="2:21" s="15" customFormat="1" x14ac:dyDescent="0.25">
      <c r="B308" s="72" t="s">
        <v>3169</v>
      </c>
      <c r="C308" s="73"/>
      <c r="D308" s="73"/>
      <c r="E308" s="73"/>
      <c r="F308" s="73"/>
      <c r="G308" s="73"/>
      <c r="H308" s="73"/>
      <c r="I308" s="73"/>
      <c r="J308" s="73"/>
      <c r="K308" s="73"/>
      <c r="L308" s="73"/>
      <c r="M308" s="73"/>
      <c r="N308" s="73"/>
      <c r="O308" s="73"/>
      <c r="P308" s="73"/>
      <c r="Q308" s="73"/>
      <c r="R308" s="73"/>
      <c r="S308" s="73"/>
      <c r="T308" s="73"/>
      <c r="U308" s="74"/>
    </row>
    <row r="309" spans="2:21" s="15" customFormat="1" x14ac:dyDescent="0.25">
      <c r="B309" s="72" t="s">
        <v>3283</v>
      </c>
      <c r="C309" s="73"/>
      <c r="D309" s="73"/>
      <c r="E309" s="73"/>
      <c r="F309" s="73"/>
      <c r="G309" s="73"/>
      <c r="H309" s="73"/>
      <c r="I309" s="73"/>
      <c r="J309" s="73"/>
      <c r="K309" s="73"/>
      <c r="L309" s="73"/>
      <c r="M309" s="73"/>
      <c r="N309" s="73"/>
      <c r="O309" s="73"/>
      <c r="P309" s="73"/>
      <c r="Q309" s="73"/>
      <c r="R309" s="73"/>
      <c r="S309" s="73"/>
      <c r="T309" s="73"/>
      <c r="U309" s="74"/>
    </row>
    <row r="310" spans="2:21" s="15" customFormat="1" x14ac:dyDescent="0.25">
      <c r="B310" s="72" t="s">
        <v>3284</v>
      </c>
      <c r="C310" s="73"/>
      <c r="D310" s="73"/>
      <c r="E310" s="73"/>
      <c r="F310" s="73"/>
      <c r="G310" s="73"/>
      <c r="H310" s="73"/>
      <c r="I310" s="73"/>
      <c r="J310" s="73"/>
      <c r="K310" s="73"/>
      <c r="L310" s="73"/>
      <c r="M310" s="73"/>
      <c r="N310" s="73"/>
      <c r="O310" s="73"/>
      <c r="P310" s="73"/>
      <c r="Q310" s="73"/>
      <c r="R310" s="73"/>
      <c r="S310" s="73"/>
      <c r="T310" s="73"/>
      <c r="U310" s="74"/>
    </row>
    <row r="311" spans="2:21" s="15" customFormat="1" x14ac:dyDescent="0.25">
      <c r="B311" s="72" t="s">
        <v>3172</v>
      </c>
      <c r="C311" s="73"/>
      <c r="D311" s="73"/>
      <c r="E311" s="73"/>
      <c r="F311" s="73"/>
      <c r="G311" s="73"/>
      <c r="H311" s="73"/>
      <c r="I311" s="73"/>
      <c r="J311" s="73"/>
      <c r="K311" s="73"/>
      <c r="L311" s="73"/>
      <c r="M311" s="73"/>
      <c r="N311" s="73"/>
      <c r="O311" s="73"/>
      <c r="P311" s="73"/>
      <c r="Q311" s="73"/>
      <c r="R311" s="73"/>
      <c r="S311" s="73"/>
      <c r="T311" s="73"/>
      <c r="U311" s="74"/>
    </row>
    <row r="312" spans="2:21" s="15" customFormat="1" x14ac:dyDescent="0.25">
      <c r="B312" s="72" t="s">
        <v>3285</v>
      </c>
      <c r="C312" s="73"/>
      <c r="D312" s="73"/>
      <c r="E312" s="73"/>
      <c r="F312" s="73"/>
      <c r="G312" s="73"/>
      <c r="H312" s="73"/>
      <c r="I312" s="73"/>
      <c r="J312" s="73"/>
      <c r="K312" s="73"/>
      <c r="L312" s="73"/>
      <c r="M312" s="73"/>
      <c r="N312" s="73"/>
      <c r="O312" s="73"/>
      <c r="P312" s="73"/>
      <c r="Q312" s="73"/>
      <c r="R312" s="73"/>
      <c r="S312" s="73"/>
      <c r="T312" s="73"/>
      <c r="U312" s="74"/>
    </row>
    <row r="313" spans="2:21" s="15" customFormat="1" x14ac:dyDescent="0.25">
      <c r="B313" s="72" t="s">
        <v>3391</v>
      </c>
      <c r="C313" s="73"/>
      <c r="D313" s="73"/>
      <c r="E313" s="73"/>
      <c r="F313" s="73"/>
      <c r="G313" s="73"/>
      <c r="H313" s="73"/>
      <c r="I313" s="73"/>
      <c r="J313" s="73"/>
      <c r="K313" s="73"/>
      <c r="L313" s="73"/>
      <c r="M313" s="73"/>
      <c r="N313" s="73"/>
      <c r="O313" s="73"/>
      <c r="P313" s="73"/>
      <c r="Q313" s="73"/>
      <c r="R313" s="73"/>
      <c r="S313" s="73"/>
      <c r="T313" s="73"/>
      <c r="U313" s="74"/>
    </row>
    <row r="314" spans="2:21" s="15" customFormat="1" x14ac:dyDescent="0.25">
      <c r="B314" s="72" t="s">
        <v>3175</v>
      </c>
      <c r="C314" s="73"/>
      <c r="D314" s="73"/>
      <c r="E314" s="73"/>
      <c r="F314" s="73"/>
      <c r="G314" s="73"/>
      <c r="H314" s="73"/>
      <c r="I314" s="73"/>
      <c r="J314" s="73"/>
      <c r="K314" s="73"/>
      <c r="L314" s="73"/>
      <c r="M314" s="73"/>
      <c r="N314" s="73"/>
      <c r="O314" s="73"/>
      <c r="P314" s="73"/>
      <c r="Q314" s="73"/>
      <c r="R314" s="73"/>
      <c r="S314" s="73"/>
      <c r="T314" s="73"/>
      <c r="U314" s="74"/>
    </row>
    <row r="315" spans="2:21" s="15" customFormat="1" x14ac:dyDescent="0.25">
      <c r="B315" s="72" t="s">
        <v>3299</v>
      </c>
      <c r="C315" s="73"/>
      <c r="D315" s="73"/>
      <c r="E315" s="73"/>
      <c r="F315" s="73"/>
      <c r="G315" s="73"/>
      <c r="H315" s="73"/>
      <c r="I315" s="73"/>
      <c r="J315" s="73"/>
      <c r="K315" s="73"/>
      <c r="L315" s="73"/>
      <c r="M315" s="73"/>
      <c r="N315" s="73"/>
      <c r="O315" s="73"/>
      <c r="P315" s="73"/>
      <c r="Q315" s="73"/>
      <c r="R315" s="73"/>
      <c r="S315" s="73"/>
      <c r="T315" s="73"/>
      <c r="U315" s="74"/>
    </row>
    <row r="316" spans="2:21" s="15" customFormat="1" x14ac:dyDescent="0.25">
      <c r="B316" s="72" t="s">
        <v>3288</v>
      </c>
      <c r="C316" s="73"/>
      <c r="D316" s="73"/>
      <c r="E316" s="73"/>
      <c r="F316" s="73"/>
      <c r="G316" s="73"/>
      <c r="H316" s="73"/>
      <c r="I316" s="73"/>
      <c r="J316" s="73"/>
      <c r="K316" s="73"/>
      <c r="L316" s="73"/>
      <c r="M316" s="73"/>
      <c r="N316" s="73"/>
      <c r="O316" s="73"/>
      <c r="P316" s="73"/>
      <c r="Q316" s="73"/>
      <c r="R316" s="73"/>
      <c r="S316" s="73"/>
      <c r="T316" s="73"/>
      <c r="U316" s="74"/>
    </row>
    <row r="317" spans="2:21" s="15" customFormat="1" x14ac:dyDescent="0.25">
      <c r="B317" s="72" t="s">
        <v>3289</v>
      </c>
      <c r="C317" s="73"/>
      <c r="D317" s="73"/>
      <c r="E317" s="73"/>
      <c r="F317" s="73"/>
      <c r="G317" s="73"/>
      <c r="H317" s="73"/>
      <c r="I317" s="73"/>
      <c r="J317" s="73"/>
      <c r="K317" s="73"/>
      <c r="L317" s="73"/>
      <c r="M317" s="73"/>
      <c r="N317" s="73"/>
      <c r="O317" s="73"/>
      <c r="P317" s="73"/>
      <c r="Q317" s="73"/>
      <c r="R317" s="73"/>
      <c r="S317" s="73"/>
      <c r="T317" s="73"/>
      <c r="U317" s="74"/>
    </row>
    <row r="318" spans="2:21" s="15" customFormat="1" x14ac:dyDescent="0.25">
      <c r="B318" s="72" t="s">
        <v>3179</v>
      </c>
      <c r="C318" s="73"/>
      <c r="D318" s="73"/>
      <c r="E318" s="73"/>
      <c r="F318" s="73"/>
      <c r="G318" s="73"/>
      <c r="H318" s="73"/>
      <c r="I318" s="73"/>
      <c r="J318" s="73"/>
      <c r="K318" s="73"/>
      <c r="L318" s="73"/>
      <c r="M318" s="73"/>
      <c r="N318" s="73"/>
      <c r="O318" s="73"/>
      <c r="P318" s="73"/>
      <c r="Q318" s="73"/>
      <c r="R318" s="73"/>
      <c r="S318" s="73"/>
      <c r="T318" s="73"/>
      <c r="U318" s="74"/>
    </row>
    <row r="319" spans="2:21" s="15" customFormat="1" x14ac:dyDescent="0.25">
      <c r="B319" s="72" t="s">
        <v>3293</v>
      </c>
      <c r="C319" s="73"/>
      <c r="D319" s="73"/>
      <c r="E319" s="73"/>
      <c r="F319" s="73"/>
      <c r="G319" s="73"/>
      <c r="H319" s="73"/>
      <c r="I319" s="73"/>
      <c r="J319" s="73"/>
      <c r="K319" s="73"/>
      <c r="L319" s="73"/>
      <c r="M319" s="73"/>
      <c r="N319" s="73"/>
      <c r="O319" s="73"/>
      <c r="P319" s="73"/>
      <c r="Q319" s="73"/>
      <c r="R319" s="73"/>
      <c r="S319" s="73"/>
      <c r="T319" s="73"/>
      <c r="U319" s="74"/>
    </row>
    <row r="320" spans="2:21" s="15" customFormat="1" x14ac:dyDescent="0.25">
      <c r="B320" s="72" t="s">
        <v>3181</v>
      </c>
      <c r="C320" s="73"/>
      <c r="D320" s="73"/>
      <c r="E320" s="73"/>
      <c r="F320" s="73"/>
      <c r="G320" s="73"/>
      <c r="H320" s="73"/>
      <c r="I320" s="73"/>
      <c r="J320" s="73"/>
      <c r="K320" s="73"/>
      <c r="L320" s="73"/>
      <c r="M320" s="73"/>
      <c r="N320" s="73"/>
      <c r="O320" s="73"/>
      <c r="P320" s="73"/>
      <c r="Q320" s="73"/>
      <c r="R320" s="73"/>
      <c r="S320" s="73"/>
      <c r="T320" s="73"/>
      <c r="U320" s="74"/>
    </row>
    <row r="321" spans="2:21" s="15" customFormat="1" x14ac:dyDescent="0.25">
      <c r="B321" s="72" t="s">
        <v>3085</v>
      </c>
      <c r="C321" s="73"/>
      <c r="D321" s="73"/>
      <c r="E321" s="73"/>
      <c r="F321" s="73"/>
      <c r="G321" s="73"/>
      <c r="H321" s="73"/>
      <c r="I321" s="73"/>
      <c r="J321" s="73"/>
      <c r="K321" s="73"/>
      <c r="L321" s="73"/>
      <c r="M321" s="73"/>
      <c r="N321" s="73"/>
      <c r="O321" s="73"/>
      <c r="P321" s="73"/>
      <c r="Q321" s="73"/>
      <c r="R321" s="73"/>
      <c r="S321" s="73"/>
      <c r="T321" s="73"/>
      <c r="U321" s="74"/>
    </row>
    <row r="322" spans="2:21" s="15" customFormat="1" x14ac:dyDescent="0.25">
      <c r="B322" s="72" t="s">
        <v>3621</v>
      </c>
      <c r="C322" s="73"/>
      <c r="D322" s="73"/>
      <c r="E322" s="73"/>
      <c r="F322" s="73"/>
      <c r="G322" s="73"/>
      <c r="H322" s="73"/>
      <c r="I322" s="73"/>
      <c r="J322" s="73"/>
      <c r="K322" s="73"/>
      <c r="L322" s="73"/>
      <c r="M322" s="73"/>
      <c r="N322" s="73"/>
      <c r="O322" s="73"/>
      <c r="P322" s="73"/>
      <c r="Q322" s="73"/>
      <c r="R322" s="73"/>
      <c r="S322" s="73"/>
      <c r="T322" s="73"/>
      <c r="U322" s="74"/>
    </row>
    <row r="323" spans="2:21" s="15" customFormat="1" x14ac:dyDescent="0.25">
      <c r="B323" s="72" t="s">
        <v>3203</v>
      </c>
      <c r="C323" s="73"/>
      <c r="D323" s="73"/>
      <c r="E323" s="73"/>
      <c r="F323" s="73"/>
      <c r="G323" s="73"/>
      <c r="H323" s="73"/>
      <c r="I323" s="73"/>
      <c r="J323" s="73"/>
      <c r="K323" s="73"/>
      <c r="L323" s="73"/>
      <c r="M323" s="73"/>
      <c r="N323" s="73"/>
      <c r="O323" s="73"/>
      <c r="P323" s="73"/>
      <c r="Q323" s="73"/>
      <c r="R323" s="73"/>
      <c r="S323" s="73"/>
      <c r="T323" s="73"/>
      <c r="U323" s="74"/>
    </row>
    <row r="324" spans="2:21" s="15" customFormat="1" x14ac:dyDescent="0.25">
      <c r="B324" s="72" t="s">
        <v>3168</v>
      </c>
      <c r="C324" s="73"/>
      <c r="D324" s="73"/>
      <c r="E324" s="73"/>
      <c r="F324" s="73"/>
      <c r="G324" s="73"/>
      <c r="H324" s="73"/>
      <c r="I324" s="73"/>
      <c r="J324" s="73"/>
      <c r="K324" s="73"/>
      <c r="L324" s="73"/>
      <c r="M324" s="73"/>
      <c r="N324" s="73"/>
      <c r="O324" s="73"/>
      <c r="P324" s="73"/>
      <c r="Q324" s="73"/>
      <c r="R324" s="73"/>
      <c r="S324" s="73"/>
      <c r="T324" s="73"/>
      <c r="U324" s="74"/>
    </row>
    <row r="325" spans="2:21" s="15" customFormat="1" x14ac:dyDescent="0.25">
      <c r="B325" s="72" t="s">
        <v>3169</v>
      </c>
      <c r="C325" s="73"/>
      <c r="D325" s="73"/>
      <c r="E325" s="73"/>
      <c r="F325" s="73"/>
      <c r="G325" s="73"/>
      <c r="H325" s="73"/>
      <c r="I325" s="73"/>
      <c r="J325" s="73"/>
      <c r="K325" s="73"/>
      <c r="L325" s="73"/>
      <c r="M325" s="73"/>
      <c r="N325" s="73"/>
      <c r="O325" s="73"/>
      <c r="P325" s="73"/>
      <c r="Q325" s="73"/>
      <c r="R325" s="73"/>
      <c r="S325" s="73"/>
      <c r="T325" s="73"/>
      <c r="U325" s="74"/>
    </row>
    <row r="326" spans="2:21" s="15" customFormat="1" x14ac:dyDescent="0.25">
      <c r="B326" s="72" t="s">
        <v>3170</v>
      </c>
      <c r="C326" s="73"/>
      <c r="D326" s="73"/>
      <c r="E326" s="73"/>
      <c r="F326" s="73"/>
      <c r="G326" s="73"/>
      <c r="H326" s="73"/>
      <c r="I326" s="73"/>
      <c r="J326" s="73"/>
      <c r="K326" s="73"/>
      <c r="L326" s="73"/>
      <c r="M326" s="73"/>
      <c r="N326" s="73"/>
      <c r="O326" s="73"/>
      <c r="P326" s="73"/>
      <c r="Q326" s="73"/>
      <c r="R326" s="73"/>
      <c r="S326" s="73"/>
      <c r="T326" s="73"/>
      <c r="U326" s="74"/>
    </row>
    <row r="327" spans="2:21" s="15" customFormat="1" x14ac:dyDescent="0.25">
      <c r="B327" s="72" t="s">
        <v>3530</v>
      </c>
      <c r="C327" s="73"/>
      <c r="D327" s="73"/>
      <c r="E327" s="73"/>
      <c r="F327" s="73"/>
      <c r="G327" s="73"/>
      <c r="H327" s="73"/>
      <c r="I327" s="73"/>
      <c r="J327" s="73"/>
      <c r="K327" s="73"/>
      <c r="L327" s="73"/>
      <c r="M327" s="73"/>
      <c r="N327" s="73"/>
      <c r="O327" s="73"/>
      <c r="P327" s="73"/>
      <c r="Q327" s="73"/>
      <c r="R327" s="73"/>
      <c r="S327" s="73"/>
      <c r="T327" s="73"/>
      <c r="U327" s="74"/>
    </row>
    <row r="328" spans="2:21" s="15" customFormat="1" x14ac:dyDescent="0.25">
      <c r="B328" s="72" t="s">
        <v>3172</v>
      </c>
      <c r="C328" s="73"/>
      <c r="D328" s="73"/>
      <c r="E328" s="73"/>
      <c r="F328" s="73"/>
      <c r="G328" s="73"/>
      <c r="H328" s="73"/>
      <c r="I328" s="73"/>
      <c r="J328" s="73"/>
      <c r="K328" s="73"/>
      <c r="L328" s="73"/>
      <c r="M328" s="73"/>
      <c r="N328" s="73"/>
      <c r="O328" s="73"/>
      <c r="P328" s="73"/>
      <c r="Q328" s="73"/>
      <c r="R328" s="73"/>
      <c r="S328" s="73"/>
      <c r="T328" s="73"/>
      <c r="U328" s="74"/>
    </row>
    <row r="329" spans="2:21" s="15" customFormat="1" x14ac:dyDescent="0.25">
      <c r="B329" s="72" t="s">
        <v>3285</v>
      </c>
      <c r="C329" s="73"/>
      <c r="D329" s="73"/>
      <c r="E329" s="73"/>
      <c r="F329" s="73"/>
      <c r="G329" s="73"/>
      <c r="H329" s="73"/>
      <c r="I329" s="73"/>
      <c r="J329" s="73"/>
      <c r="K329" s="73"/>
      <c r="L329" s="73"/>
      <c r="M329" s="73"/>
      <c r="N329" s="73"/>
      <c r="O329" s="73"/>
      <c r="P329" s="73"/>
      <c r="Q329" s="73"/>
      <c r="R329" s="73"/>
      <c r="S329" s="73"/>
      <c r="T329" s="73"/>
      <c r="U329" s="74"/>
    </row>
    <row r="330" spans="2:21" s="15" customFormat="1" x14ac:dyDescent="0.25">
      <c r="B330" s="72" t="s">
        <v>3391</v>
      </c>
      <c r="C330" s="73"/>
      <c r="D330" s="73"/>
      <c r="E330" s="73"/>
      <c r="F330" s="73"/>
      <c r="G330" s="73"/>
      <c r="H330" s="73"/>
      <c r="I330" s="73"/>
      <c r="J330" s="73"/>
      <c r="K330" s="73"/>
      <c r="L330" s="73"/>
      <c r="M330" s="73"/>
      <c r="N330" s="73"/>
      <c r="O330" s="73"/>
      <c r="P330" s="73"/>
      <c r="Q330" s="73"/>
      <c r="R330" s="73"/>
      <c r="S330" s="73"/>
      <c r="T330" s="73"/>
      <c r="U330" s="74"/>
    </row>
    <row r="331" spans="2:21" s="15" customFormat="1" x14ac:dyDescent="0.25">
      <c r="B331" s="72" t="s">
        <v>3287</v>
      </c>
      <c r="C331" s="73"/>
      <c r="D331" s="73"/>
      <c r="E331" s="73"/>
      <c r="F331" s="73"/>
      <c r="G331" s="73"/>
      <c r="H331" s="73"/>
      <c r="I331" s="73"/>
      <c r="J331" s="73"/>
      <c r="K331" s="73"/>
      <c r="L331" s="73"/>
      <c r="M331" s="73"/>
      <c r="N331" s="73"/>
      <c r="O331" s="73"/>
      <c r="P331" s="73"/>
      <c r="Q331" s="73"/>
      <c r="R331" s="73"/>
      <c r="S331" s="73"/>
      <c r="T331" s="73"/>
      <c r="U331" s="74"/>
    </row>
    <row r="332" spans="2:21" s="15" customFormat="1" x14ac:dyDescent="0.25">
      <c r="B332" s="72" t="s">
        <v>3176</v>
      </c>
      <c r="C332" s="73"/>
      <c r="D332" s="73"/>
      <c r="E332" s="73"/>
      <c r="F332" s="73"/>
      <c r="G332" s="73"/>
      <c r="H332" s="73"/>
      <c r="I332" s="73"/>
      <c r="J332" s="73"/>
      <c r="K332" s="73"/>
      <c r="L332" s="73"/>
      <c r="M332" s="73"/>
      <c r="N332" s="73"/>
      <c r="O332" s="73"/>
      <c r="P332" s="73"/>
      <c r="Q332" s="73"/>
      <c r="R332" s="73"/>
      <c r="S332" s="73"/>
      <c r="T332" s="73"/>
      <c r="U332" s="74"/>
    </row>
    <row r="333" spans="2:21" s="15" customFormat="1" x14ac:dyDescent="0.25">
      <c r="B333" s="72" t="s">
        <v>3288</v>
      </c>
      <c r="C333" s="73"/>
      <c r="D333" s="73"/>
      <c r="E333" s="73"/>
      <c r="F333" s="73"/>
      <c r="G333" s="73"/>
      <c r="H333" s="73"/>
      <c r="I333" s="73"/>
      <c r="J333" s="73"/>
      <c r="K333" s="73"/>
      <c r="L333" s="73"/>
      <c r="M333" s="73"/>
      <c r="N333" s="73"/>
      <c r="O333" s="73"/>
      <c r="P333" s="73"/>
      <c r="Q333" s="73"/>
      <c r="R333" s="73"/>
      <c r="S333" s="73"/>
      <c r="T333" s="73"/>
      <c r="U333" s="74"/>
    </row>
    <row r="334" spans="2:21" s="15" customFormat="1" x14ac:dyDescent="0.25">
      <c r="B334" s="72" t="s">
        <v>3289</v>
      </c>
      <c r="C334" s="73"/>
      <c r="D334" s="73"/>
      <c r="E334" s="73"/>
      <c r="F334" s="73"/>
      <c r="G334" s="73"/>
      <c r="H334" s="73"/>
      <c r="I334" s="73"/>
      <c r="J334" s="73"/>
      <c r="K334" s="73"/>
      <c r="L334" s="73"/>
      <c r="M334" s="73"/>
      <c r="N334" s="73"/>
      <c r="O334" s="73"/>
      <c r="P334" s="73"/>
      <c r="Q334" s="73"/>
      <c r="R334" s="73"/>
      <c r="S334" s="73"/>
      <c r="T334" s="73"/>
      <c r="U334" s="74"/>
    </row>
    <row r="335" spans="2:21" s="15" customFormat="1" x14ac:dyDescent="0.25">
      <c r="B335" s="72" t="s">
        <v>3294</v>
      </c>
      <c r="C335" s="73"/>
      <c r="D335" s="73"/>
      <c r="E335" s="73"/>
      <c r="F335" s="73"/>
      <c r="G335" s="73"/>
      <c r="H335" s="73"/>
      <c r="I335" s="73"/>
      <c r="J335" s="73"/>
      <c r="K335" s="73"/>
      <c r="L335" s="73"/>
      <c r="M335" s="73"/>
      <c r="N335" s="73"/>
      <c r="O335" s="73"/>
      <c r="P335" s="73"/>
      <c r="Q335" s="73"/>
      <c r="R335" s="73"/>
      <c r="S335" s="73"/>
      <c r="T335" s="73"/>
      <c r="U335" s="74"/>
    </row>
    <row r="336" spans="2:21" s="15" customFormat="1" x14ac:dyDescent="0.25">
      <c r="B336" s="72" t="s">
        <v>3293</v>
      </c>
      <c r="C336" s="73"/>
      <c r="D336" s="73"/>
      <c r="E336" s="73"/>
      <c r="F336" s="73"/>
      <c r="G336" s="73"/>
      <c r="H336" s="73"/>
      <c r="I336" s="73"/>
      <c r="J336" s="73"/>
      <c r="K336" s="73"/>
      <c r="L336" s="73"/>
      <c r="M336" s="73"/>
      <c r="N336" s="73"/>
      <c r="O336" s="73"/>
      <c r="P336" s="73"/>
      <c r="Q336" s="73"/>
      <c r="R336" s="73"/>
      <c r="S336" s="73"/>
      <c r="T336" s="73"/>
      <c r="U336" s="74"/>
    </row>
    <row r="337" spans="2:21" s="15" customFormat="1" x14ac:dyDescent="0.25">
      <c r="B337" s="72" t="s">
        <v>3181</v>
      </c>
      <c r="C337" s="73"/>
      <c r="D337" s="73"/>
      <c r="E337" s="73"/>
      <c r="F337" s="73"/>
      <c r="G337" s="73"/>
      <c r="H337" s="73"/>
      <c r="I337" s="73"/>
      <c r="J337" s="73"/>
      <c r="K337" s="73"/>
      <c r="L337" s="73"/>
      <c r="M337" s="73"/>
      <c r="N337" s="73"/>
      <c r="O337" s="73"/>
      <c r="P337" s="73"/>
      <c r="Q337" s="73"/>
      <c r="R337" s="73"/>
      <c r="S337" s="73"/>
      <c r="T337" s="73"/>
      <c r="U337" s="74"/>
    </row>
    <row r="338" spans="2:21" s="15" customFormat="1" x14ac:dyDescent="0.25">
      <c r="B338" s="72" t="s">
        <v>3085</v>
      </c>
      <c r="C338" s="73"/>
      <c r="D338" s="73"/>
      <c r="E338" s="73"/>
      <c r="F338" s="73"/>
      <c r="G338" s="73"/>
      <c r="H338" s="73"/>
      <c r="I338" s="73"/>
      <c r="J338" s="73"/>
      <c r="K338" s="73"/>
      <c r="L338" s="73"/>
      <c r="M338" s="73"/>
      <c r="N338" s="73"/>
      <c r="O338" s="73"/>
      <c r="P338" s="73"/>
      <c r="Q338" s="73"/>
      <c r="R338" s="73"/>
      <c r="S338" s="73"/>
      <c r="T338" s="73"/>
      <c r="U338" s="74"/>
    </row>
    <row r="339" spans="2:21" s="15" customFormat="1" x14ac:dyDescent="0.25">
      <c r="B339" s="72" t="s">
        <v>3621</v>
      </c>
      <c r="C339" s="73"/>
      <c r="D339" s="73"/>
      <c r="E339" s="73"/>
      <c r="F339" s="73"/>
      <c r="G339" s="73"/>
      <c r="H339" s="73"/>
      <c r="I339" s="73"/>
      <c r="J339" s="73"/>
      <c r="K339" s="73"/>
      <c r="L339" s="73"/>
      <c r="M339" s="73"/>
      <c r="N339" s="73"/>
      <c r="O339" s="73"/>
      <c r="P339" s="73"/>
      <c r="Q339" s="73"/>
      <c r="R339" s="73"/>
      <c r="S339" s="73"/>
      <c r="T339" s="73"/>
      <c r="U339" s="74"/>
    </row>
    <row r="340" spans="2:21" s="15" customFormat="1" x14ac:dyDescent="0.25">
      <c r="B340" s="72" t="s">
        <v>3167</v>
      </c>
      <c r="C340" s="73"/>
      <c r="D340" s="73"/>
      <c r="E340" s="73"/>
      <c r="F340" s="73"/>
      <c r="G340" s="73"/>
      <c r="H340" s="73"/>
      <c r="I340" s="73"/>
      <c r="J340" s="73"/>
      <c r="K340" s="73"/>
      <c r="L340" s="73"/>
      <c r="M340" s="73"/>
      <c r="N340" s="73"/>
      <c r="O340" s="73"/>
      <c r="P340" s="73"/>
      <c r="Q340" s="73"/>
      <c r="R340" s="73"/>
      <c r="S340" s="73"/>
      <c r="T340" s="73"/>
      <c r="U340" s="74"/>
    </row>
    <row r="341" spans="2:21" s="15" customFormat="1" x14ac:dyDescent="0.25">
      <c r="B341" s="72" t="s">
        <v>3168</v>
      </c>
      <c r="C341" s="73"/>
      <c r="D341" s="73"/>
      <c r="E341" s="73"/>
      <c r="F341" s="73"/>
      <c r="G341" s="73"/>
      <c r="H341" s="73"/>
      <c r="I341" s="73"/>
      <c r="J341" s="73"/>
      <c r="K341" s="73"/>
      <c r="L341" s="73"/>
      <c r="M341" s="73"/>
      <c r="N341" s="73"/>
      <c r="O341" s="73"/>
      <c r="P341" s="73"/>
      <c r="Q341" s="73"/>
      <c r="R341" s="73"/>
      <c r="S341" s="73"/>
      <c r="T341" s="73"/>
      <c r="U341" s="74"/>
    </row>
    <row r="342" spans="2:21" s="15" customFormat="1" x14ac:dyDescent="0.25">
      <c r="B342" s="72" t="s">
        <v>3169</v>
      </c>
      <c r="C342" s="73"/>
      <c r="D342" s="73"/>
      <c r="E342" s="73"/>
      <c r="F342" s="73"/>
      <c r="G342" s="73"/>
      <c r="H342" s="73"/>
      <c r="I342" s="73"/>
      <c r="J342" s="73"/>
      <c r="K342" s="73"/>
      <c r="L342" s="73"/>
      <c r="M342" s="73"/>
      <c r="N342" s="73"/>
      <c r="O342" s="73"/>
      <c r="P342" s="73"/>
      <c r="Q342" s="73"/>
      <c r="R342" s="73"/>
      <c r="S342" s="73"/>
      <c r="T342" s="73"/>
      <c r="U342" s="74"/>
    </row>
    <row r="343" spans="2:21" s="15" customFormat="1" x14ac:dyDescent="0.25">
      <c r="B343" s="72" t="s">
        <v>3170</v>
      </c>
      <c r="C343" s="73"/>
      <c r="D343" s="73"/>
      <c r="E343" s="73"/>
      <c r="F343" s="73"/>
      <c r="G343" s="73"/>
      <c r="H343" s="73"/>
      <c r="I343" s="73"/>
      <c r="J343" s="73"/>
      <c r="K343" s="73"/>
      <c r="L343" s="73"/>
      <c r="M343" s="73"/>
      <c r="N343" s="73"/>
      <c r="O343" s="73"/>
      <c r="P343" s="73"/>
      <c r="Q343" s="73"/>
      <c r="R343" s="73"/>
      <c r="S343" s="73"/>
      <c r="T343" s="73"/>
      <c r="U343" s="74"/>
    </row>
    <row r="344" spans="2:21" s="15" customFormat="1" x14ac:dyDescent="0.25">
      <c r="B344" s="72" t="s">
        <v>3284</v>
      </c>
      <c r="C344" s="73"/>
      <c r="D344" s="73"/>
      <c r="E344" s="73"/>
      <c r="F344" s="73"/>
      <c r="G344" s="73"/>
      <c r="H344" s="73"/>
      <c r="I344" s="73"/>
      <c r="J344" s="73"/>
      <c r="K344" s="73"/>
      <c r="L344" s="73"/>
      <c r="M344" s="73"/>
      <c r="N344" s="73"/>
      <c r="O344" s="73"/>
      <c r="P344" s="73"/>
      <c r="Q344" s="73"/>
      <c r="R344" s="73"/>
      <c r="S344" s="73"/>
      <c r="T344" s="73"/>
      <c r="U344" s="74"/>
    </row>
    <row r="345" spans="2:21" s="15" customFormat="1" x14ac:dyDescent="0.25">
      <c r="B345" s="72" t="s">
        <v>3172</v>
      </c>
      <c r="C345" s="73"/>
      <c r="D345" s="73"/>
      <c r="E345" s="73"/>
      <c r="F345" s="73"/>
      <c r="G345" s="73"/>
      <c r="H345" s="73"/>
      <c r="I345" s="73"/>
      <c r="J345" s="73"/>
      <c r="K345" s="73"/>
      <c r="L345" s="73"/>
      <c r="M345" s="73"/>
      <c r="N345" s="73"/>
      <c r="O345" s="73"/>
      <c r="P345" s="73"/>
      <c r="Q345" s="73"/>
      <c r="R345" s="73"/>
      <c r="S345" s="73"/>
      <c r="T345" s="73"/>
      <c r="U345" s="74"/>
    </row>
    <row r="346" spans="2:21" s="15" customFormat="1" x14ac:dyDescent="0.25">
      <c r="B346" s="72" t="s">
        <v>3285</v>
      </c>
      <c r="C346" s="73"/>
      <c r="D346" s="73"/>
      <c r="E346" s="73"/>
      <c r="F346" s="73"/>
      <c r="G346" s="73"/>
      <c r="H346" s="73"/>
      <c r="I346" s="73"/>
      <c r="J346" s="73"/>
      <c r="K346" s="73"/>
      <c r="L346" s="73"/>
      <c r="M346" s="73"/>
      <c r="N346" s="73"/>
      <c r="O346" s="73"/>
      <c r="P346" s="73"/>
      <c r="Q346" s="73"/>
      <c r="R346" s="73"/>
      <c r="S346" s="73"/>
      <c r="T346" s="73"/>
      <c r="U346" s="74"/>
    </row>
    <row r="347" spans="2:21" s="15" customFormat="1" x14ac:dyDescent="0.25">
      <c r="B347" s="72" t="s">
        <v>3286</v>
      </c>
      <c r="C347" s="73"/>
      <c r="D347" s="73"/>
      <c r="E347" s="73"/>
      <c r="F347" s="73"/>
      <c r="G347" s="73"/>
      <c r="H347" s="73"/>
      <c r="I347" s="73"/>
      <c r="J347" s="73"/>
      <c r="K347" s="73"/>
      <c r="L347" s="73"/>
      <c r="M347" s="73"/>
      <c r="N347" s="73"/>
      <c r="O347" s="73"/>
      <c r="P347" s="73"/>
      <c r="Q347" s="73"/>
      <c r="R347" s="73"/>
      <c r="S347" s="73"/>
      <c r="T347" s="73"/>
      <c r="U347" s="74"/>
    </row>
    <row r="348" spans="2:21" s="15" customFormat="1" x14ac:dyDescent="0.25">
      <c r="B348" s="72" t="s">
        <v>3175</v>
      </c>
      <c r="C348" s="73"/>
      <c r="D348" s="73"/>
      <c r="E348" s="73"/>
      <c r="F348" s="73"/>
      <c r="G348" s="73"/>
      <c r="H348" s="73"/>
      <c r="I348" s="73"/>
      <c r="J348" s="73"/>
      <c r="K348" s="73"/>
      <c r="L348" s="73"/>
      <c r="M348" s="73"/>
      <c r="N348" s="73"/>
      <c r="O348" s="73"/>
      <c r="P348" s="73"/>
      <c r="Q348" s="73"/>
      <c r="R348" s="73"/>
      <c r="S348" s="73"/>
      <c r="T348" s="73"/>
      <c r="U348" s="74"/>
    </row>
    <row r="349" spans="2:21" s="15" customFormat="1" x14ac:dyDescent="0.25">
      <c r="B349" s="72" t="s">
        <v>3299</v>
      </c>
      <c r="C349" s="73"/>
      <c r="D349" s="73"/>
      <c r="E349" s="73"/>
      <c r="F349" s="73"/>
      <c r="G349" s="73"/>
      <c r="H349" s="73"/>
      <c r="I349" s="73"/>
      <c r="J349" s="73"/>
      <c r="K349" s="73"/>
      <c r="L349" s="73"/>
      <c r="M349" s="73"/>
      <c r="N349" s="73"/>
      <c r="O349" s="73"/>
      <c r="P349" s="73"/>
      <c r="Q349" s="73"/>
      <c r="R349" s="73"/>
      <c r="S349" s="73"/>
      <c r="T349" s="73"/>
      <c r="U349" s="74"/>
    </row>
    <row r="350" spans="2:21" s="15" customFormat="1" x14ac:dyDescent="0.25">
      <c r="B350" s="72" t="s">
        <v>3288</v>
      </c>
      <c r="C350" s="73"/>
      <c r="D350" s="73"/>
      <c r="E350" s="73"/>
      <c r="F350" s="73"/>
      <c r="G350" s="73"/>
      <c r="H350" s="73"/>
      <c r="I350" s="73"/>
      <c r="J350" s="73"/>
      <c r="K350" s="73"/>
      <c r="L350" s="73"/>
      <c r="M350" s="73"/>
      <c r="N350" s="73"/>
      <c r="O350" s="73"/>
      <c r="P350" s="73"/>
      <c r="Q350" s="73"/>
      <c r="R350" s="73"/>
      <c r="S350" s="73"/>
      <c r="T350" s="73"/>
      <c r="U350" s="74"/>
    </row>
    <row r="351" spans="2:21" s="15" customFormat="1" x14ac:dyDescent="0.25">
      <c r="B351" s="72" t="s">
        <v>3289</v>
      </c>
      <c r="C351" s="73"/>
      <c r="D351" s="73"/>
      <c r="E351" s="73"/>
      <c r="F351" s="73"/>
      <c r="G351" s="73"/>
      <c r="H351" s="73"/>
      <c r="I351" s="73"/>
      <c r="J351" s="73"/>
      <c r="K351" s="73"/>
      <c r="L351" s="73"/>
      <c r="M351" s="73"/>
      <c r="N351" s="73"/>
      <c r="O351" s="73"/>
      <c r="P351" s="73"/>
      <c r="Q351" s="73"/>
      <c r="R351" s="73"/>
      <c r="S351" s="73"/>
      <c r="T351" s="73"/>
      <c r="U351" s="74"/>
    </row>
    <row r="352" spans="2:21" s="15" customFormat="1" x14ac:dyDescent="0.25">
      <c r="B352" s="72" t="s">
        <v>3179</v>
      </c>
      <c r="C352" s="73"/>
      <c r="D352" s="73"/>
      <c r="E352" s="73"/>
      <c r="F352" s="73"/>
      <c r="G352" s="73"/>
      <c r="H352" s="73"/>
      <c r="I352" s="73"/>
      <c r="J352" s="73"/>
      <c r="K352" s="73"/>
      <c r="L352" s="73"/>
      <c r="M352" s="73"/>
      <c r="N352" s="73"/>
      <c r="O352" s="73"/>
      <c r="P352" s="73"/>
      <c r="Q352" s="73"/>
      <c r="R352" s="73"/>
      <c r="S352" s="73"/>
      <c r="T352" s="73"/>
      <c r="U352" s="74"/>
    </row>
    <row r="353" spans="2:21" s="15" customFormat="1" x14ac:dyDescent="0.25">
      <c r="B353" s="72" t="s">
        <v>3180</v>
      </c>
      <c r="C353" s="73"/>
      <c r="D353" s="73"/>
      <c r="E353" s="73"/>
      <c r="F353" s="73"/>
      <c r="G353" s="73"/>
      <c r="H353" s="73"/>
      <c r="I353" s="73"/>
      <c r="J353" s="73"/>
      <c r="K353" s="73"/>
      <c r="L353" s="73"/>
      <c r="M353" s="73"/>
      <c r="N353" s="73"/>
      <c r="O353" s="73"/>
      <c r="P353" s="73"/>
      <c r="Q353" s="73"/>
      <c r="R353" s="73"/>
      <c r="S353" s="73"/>
      <c r="T353" s="73"/>
      <c r="U353" s="74"/>
    </row>
    <row r="354" spans="2:21" s="15" customFormat="1" x14ac:dyDescent="0.25">
      <c r="B354" s="72" t="s">
        <v>3181</v>
      </c>
      <c r="C354" s="73"/>
      <c r="D354" s="73"/>
      <c r="E354" s="73"/>
      <c r="F354" s="73"/>
      <c r="G354" s="73"/>
      <c r="H354" s="73"/>
      <c r="I354" s="73"/>
      <c r="J354" s="73"/>
      <c r="K354" s="73"/>
      <c r="L354" s="73"/>
      <c r="M354" s="73"/>
      <c r="N354" s="73"/>
      <c r="O354" s="73"/>
      <c r="P354" s="73"/>
      <c r="Q354" s="73"/>
      <c r="R354" s="73"/>
      <c r="S354" s="73"/>
      <c r="T354" s="73"/>
      <c r="U354" s="74"/>
    </row>
    <row r="355" spans="2:21" s="15" customFormat="1" x14ac:dyDescent="0.25">
      <c r="B355" s="72" t="s">
        <v>3085</v>
      </c>
      <c r="C355" s="73"/>
      <c r="D355" s="73"/>
      <c r="E355" s="73"/>
      <c r="F355" s="73"/>
      <c r="G355" s="73"/>
      <c r="H355" s="73"/>
      <c r="I355" s="73"/>
      <c r="J355" s="73"/>
      <c r="K355" s="73"/>
      <c r="L355" s="73"/>
      <c r="M355" s="73"/>
      <c r="N355" s="73"/>
      <c r="O355" s="73"/>
      <c r="P355" s="73"/>
      <c r="Q355" s="73"/>
      <c r="R355" s="73"/>
      <c r="S355" s="73"/>
      <c r="T355" s="73"/>
      <c r="U355" s="74"/>
    </row>
    <row r="356" spans="2:21" s="15" customFormat="1" x14ac:dyDescent="0.25">
      <c r="B356" s="72" t="s">
        <v>3622</v>
      </c>
      <c r="C356" s="73"/>
      <c r="D356" s="73"/>
      <c r="E356" s="73"/>
      <c r="F356" s="73"/>
      <c r="G356" s="73"/>
      <c r="H356" s="73"/>
      <c r="I356" s="73"/>
      <c r="J356" s="73"/>
      <c r="K356" s="73"/>
      <c r="L356" s="73"/>
      <c r="M356" s="73"/>
      <c r="N356" s="73"/>
      <c r="O356" s="73"/>
      <c r="P356" s="73"/>
      <c r="Q356" s="73"/>
      <c r="R356" s="73"/>
      <c r="S356" s="73"/>
      <c r="T356" s="73"/>
      <c r="U356" s="74"/>
    </row>
    <row r="357" spans="2:21" s="15" customFormat="1" x14ac:dyDescent="0.25">
      <c r="B357" s="72" t="s">
        <v>3183</v>
      </c>
      <c r="C357" s="73"/>
      <c r="D357" s="73"/>
      <c r="E357" s="73"/>
      <c r="F357" s="73"/>
      <c r="G357" s="73"/>
      <c r="H357" s="73"/>
      <c r="I357" s="73"/>
      <c r="J357" s="73"/>
      <c r="K357" s="73"/>
      <c r="L357" s="73"/>
      <c r="M357" s="73"/>
      <c r="N357" s="73"/>
      <c r="O357" s="73"/>
      <c r="P357" s="73"/>
      <c r="Q357" s="73"/>
      <c r="R357" s="73"/>
      <c r="S357" s="73"/>
      <c r="T357" s="73"/>
      <c r="U357" s="74"/>
    </row>
    <row r="358" spans="2:21" s="15" customFormat="1" x14ac:dyDescent="0.25">
      <c r="B358" s="72" t="s">
        <v>3168</v>
      </c>
      <c r="C358" s="73"/>
      <c r="D358" s="73"/>
      <c r="E358" s="73"/>
      <c r="F358" s="73"/>
      <c r="G358" s="73"/>
      <c r="H358" s="73"/>
      <c r="I358" s="73"/>
      <c r="J358" s="73"/>
      <c r="K358" s="73"/>
      <c r="L358" s="73"/>
      <c r="M358" s="73"/>
      <c r="N358" s="73"/>
      <c r="O358" s="73"/>
      <c r="P358" s="73"/>
      <c r="Q358" s="73"/>
      <c r="R358" s="73"/>
      <c r="S358" s="73"/>
      <c r="T358" s="73"/>
      <c r="U358" s="74"/>
    </row>
    <row r="359" spans="2:21" s="15" customFormat="1" x14ac:dyDescent="0.25">
      <c r="B359" s="72" t="s">
        <v>3169</v>
      </c>
      <c r="C359" s="73"/>
      <c r="D359" s="73"/>
      <c r="E359" s="73"/>
      <c r="F359" s="73"/>
      <c r="G359" s="73"/>
      <c r="H359" s="73"/>
      <c r="I359" s="73"/>
      <c r="J359" s="73"/>
      <c r="K359" s="73"/>
      <c r="L359" s="73"/>
      <c r="M359" s="73"/>
      <c r="N359" s="73"/>
      <c r="O359" s="73"/>
      <c r="P359" s="73"/>
      <c r="Q359" s="73"/>
      <c r="R359" s="73"/>
      <c r="S359" s="73"/>
      <c r="T359" s="73"/>
      <c r="U359" s="74"/>
    </row>
    <row r="360" spans="2:21" s="15" customFormat="1" x14ac:dyDescent="0.25">
      <c r="B360" s="72" t="s">
        <v>3170</v>
      </c>
      <c r="C360" s="73"/>
      <c r="D360" s="73"/>
      <c r="E360" s="73"/>
      <c r="F360" s="73"/>
      <c r="G360" s="73"/>
      <c r="H360" s="73"/>
      <c r="I360" s="73"/>
      <c r="J360" s="73"/>
      <c r="K360" s="73"/>
      <c r="L360" s="73"/>
      <c r="M360" s="73"/>
      <c r="N360" s="73"/>
      <c r="O360" s="73"/>
      <c r="P360" s="73"/>
      <c r="Q360" s="73"/>
      <c r="R360" s="73"/>
      <c r="S360" s="73"/>
      <c r="T360" s="73"/>
      <c r="U360" s="74"/>
    </row>
    <row r="361" spans="2:21" s="15" customFormat="1" x14ac:dyDescent="0.25">
      <c r="B361" s="72" t="s">
        <v>3284</v>
      </c>
      <c r="C361" s="73"/>
      <c r="D361" s="73"/>
      <c r="E361" s="73"/>
      <c r="F361" s="73"/>
      <c r="G361" s="73"/>
      <c r="H361" s="73"/>
      <c r="I361" s="73"/>
      <c r="J361" s="73"/>
      <c r="K361" s="73"/>
      <c r="L361" s="73"/>
      <c r="M361" s="73"/>
      <c r="N361" s="73"/>
      <c r="O361" s="73"/>
      <c r="P361" s="73"/>
      <c r="Q361" s="73"/>
      <c r="R361" s="73"/>
      <c r="S361" s="73"/>
      <c r="T361" s="73"/>
      <c r="U361" s="74"/>
    </row>
    <row r="362" spans="2:21" s="15" customFormat="1" x14ac:dyDescent="0.25">
      <c r="B362" s="72" t="s">
        <v>3172</v>
      </c>
      <c r="C362" s="73"/>
      <c r="D362" s="73"/>
      <c r="E362" s="73"/>
      <c r="F362" s="73"/>
      <c r="G362" s="73"/>
      <c r="H362" s="73"/>
      <c r="I362" s="73"/>
      <c r="J362" s="73"/>
      <c r="K362" s="73"/>
      <c r="L362" s="73"/>
      <c r="M362" s="73"/>
      <c r="N362" s="73"/>
      <c r="O362" s="73"/>
      <c r="P362" s="73"/>
      <c r="Q362" s="73"/>
      <c r="R362" s="73"/>
      <c r="S362" s="73"/>
      <c r="T362" s="73"/>
      <c r="U362" s="74"/>
    </row>
    <row r="363" spans="2:21" s="15" customFormat="1" x14ac:dyDescent="0.25">
      <c r="B363" s="72" t="s">
        <v>3285</v>
      </c>
      <c r="C363" s="73"/>
      <c r="D363" s="73"/>
      <c r="E363" s="73"/>
      <c r="F363" s="73"/>
      <c r="G363" s="73"/>
      <c r="H363" s="73"/>
      <c r="I363" s="73"/>
      <c r="J363" s="73"/>
      <c r="K363" s="73"/>
      <c r="L363" s="73"/>
      <c r="M363" s="73"/>
      <c r="N363" s="73"/>
      <c r="O363" s="73"/>
      <c r="P363" s="73"/>
      <c r="Q363" s="73"/>
      <c r="R363" s="73"/>
      <c r="S363" s="73"/>
      <c r="T363" s="73"/>
      <c r="U363" s="74"/>
    </row>
    <row r="364" spans="2:21" s="15" customFormat="1" x14ac:dyDescent="0.25">
      <c r="B364" s="72" t="s">
        <v>3286</v>
      </c>
      <c r="C364" s="73"/>
      <c r="D364" s="73"/>
      <c r="E364" s="73"/>
      <c r="F364" s="73"/>
      <c r="G364" s="73"/>
      <c r="H364" s="73"/>
      <c r="I364" s="73"/>
      <c r="J364" s="73"/>
      <c r="K364" s="73"/>
      <c r="L364" s="73"/>
      <c r="M364" s="73"/>
      <c r="N364" s="73"/>
      <c r="O364" s="73"/>
      <c r="P364" s="73"/>
      <c r="Q364" s="73"/>
      <c r="R364" s="73"/>
      <c r="S364" s="73"/>
      <c r="T364" s="73"/>
      <c r="U364" s="74"/>
    </row>
    <row r="365" spans="2:21" s="15" customFormat="1" x14ac:dyDescent="0.25">
      <c r="B365" s="72" t="s">
        <v>3175</v>
      </c>
      <c r="C365" s="73"/>
      <c r="D365" s="73"/>
      <c r="E365" s="73"/>
      <c r="F365" s="73"/>
      <c r="G365" s="73"/>
      <c r="H365" s="73"/>
      <c r="I365" s="73"/>
      <c r="J365" s="73"/>
      <c r="K365" s="73"/>
      <c r="L365" s="73"/>
      <c r="M365" s="73"/>
      <c r="N365" s="73"/>
      <c r="O365" s="73"/>
      <c r="P365" s="73"/>
      <c r="Q365" s="73"/>
      <c r="R365" s="73"/>
      <c r="S365" s="73"/>
      <c r="T365" s="73"/>
      <c r="U365" s="74"/>
    </row>
    <row r="366" spans="2:21" s="15" customFormat="1" x14ac:dyDescent="0.25">
      <c r="B366" s="72" t="s">
        <v>3299</v>
      </c>
      <c r="C366" s="73"/>
      <c r="D366" s="73"/>
      <c r="E366" s="73"/>
      <c r="F366" s="73"/>
      <c r="G366" s="73"/>
      <c r="H366" s="73"/>
      <c r="I366" s="73"/>
      <c r="J366" s="73"/>
      <c r="K366" s="73"/>
      <c r="L366" s="73"/>
      <c r="M366" s="73"/>
      <c r="N366" s="73"/>
      <c r="O366" s="73"/>
      <c r="P366" s="73"/>
      <c r="Q366" s="73"/>
      <c r="R366" s="73"/>
      <c r="S366" s="73"/>
      <c r="T366" s="73"/>
      <c r="U366" s="74"/>
    </row>
    <row r="367" spans="2:21" s="15" customFormat="1" x14ac:dyDescent="0.25">
      <c r="B367" s="72" t="s">
        <v>3288</v>
      </c>
      <c r="C367" s="73"/>
      <c r="D367" s="73"/>
      <c r="E367" s="73"/>
      <c r="F367" s="73"/>
      <c r="G367" s="73"/>
      <c r="H367" s="73"/>
      <c r="I367" s="73"/>
      <c r="J367" s="73"/>
      <c r="K367" s="73"/>
      <c r="L367" s="73"/>
      <c r="M367" s="73"/>
      <c r="N367" s="73"/>
      <c r="O367" s="73"/>
      <c r="P367" s="73"/>
      <c r="Q367" s="73"/>
      <c r="R367" s="73"/>
      <c r="S367" s="73"/>
      <c r="T367" s="73"/>
      <c r="U367" s="74"/>
    </row>
    <row r="368" spans="2:21" s="15" customFormat="1" x14ac:dyDescent="0.25">
      <c r="B368" s="72" t="s">
        <v>3289</v>
      </c>
      <c r="C368" s="73"/>
      <c r="D368" s="73"/>
      <c r="E368" s="73"/>
      <c r="F368" s="73"/>
      <c r="G368" s="73"/>
      <c r="H368" s="73"/>
      <c r="I368" s="73"/>
      <c r="J368" s="73"/>
      <c r="K368" s="73"/>
      <c r="L368" s="73"/>
      <c r="M368" s="73"/>
      <c r="N368" s="73"/>
      <c r="O368" s="73"/>
      <c r="P368" s="73"/>
      <c r="Q368" s="73"/>
      <c r="R368" s="73"/>
      <c r="S368" s="73"/>
      <c r="T368" s="73"/>
      <c r="U368" s="74"/>
    </row>
    <row r="369" spans="2:21" s="15" customFormat="1" x14ac:dyDescent="0.25">
      <c r="B369" s="72" t="s">
        <v>3294</v>
      </c>
      <c r="C369" s="73"/>
      <c r="D369" s="73"/>
      <c r="E369" s="73"/>
      <c r="F369" s="73"/>
      <c r="G369" s="73"/>
      <c r="H369" s="73"/>
      <c r="I369" s="73"/>
      <c r="J369" s="73"/>
      <c r="K369" s="73"/>
      <c r="L369" s="73"/>
      <c r="M369" s="73"/>
      <c r="N369" s="73"/>
      <c r="O369" s="73"/>
      <c r="P369" s="73"/>
      <c r="Q369" s="73"/>
      <c r="R369" s="73"/>
      <c r="S369" s="73"/>
      <c r="T369" s="73"/>
      <c r="U369" s="74"/>
    </row>
    <row r="370" spans="2:21" s="15" customFormat="1" x14ac:dyDescent="0.25">
      <c r="B370" s="72" t="s">
        <v>3293</v>
      </c>
      <c r="C370" s="73"/>
      <c r="D370" s="73"/>
      <c r="E370" s="73"/>
      <c r="F370" s="73"/>
      <c r="G370" s="73"/>
      <c r="H370" s="73"/>
      <c r="I370" s="73"/>
      <c r="J370" s="73"/>
      <c r="K370" s="73"/>
      <c r="L370" s="73"/>
      <c r="M370" s="73"/>
      <c r="N370" s="73"/>
      <c r="O370" s="73"/>
      <c r="P370" s="73"/>
      <c r="Q370" s="73"/>
      <c r="R370" s="73"/>
      <c r="S370" s="73"/>
      <c r="T370" s="73"/>
      <c r="U370" s="74"/>
    </row>
    <row r="371" spans="2:21" s="15" customFormat="1" x14ac:dyDescent="0.25">
      <c r="B371" s="72" t="s">
        <v>3083</v>
      </c>
      <c r="C371" s="73"/>
      <c r="D371" s="73"/>
      <c r="E371" s="73"/>
      <c r="F371" s="73"/>
      <c r="G371" s="73"/>
      <c r="H371" s="73"/>
      <c r="I371" s="73"/>
      <c r="J371" s="73"/>
      <c r="K371" s="73"/>
      <c r="L371" s="73"/>
      <c r="M371" s="73"/>
      <c r="N371" s="73"/>
      <c r="O371" s="73"/>
      <c r="P371" s="73"/>
      <c r="Q371" s="73"/>
      <c r="R371" s="73"/>
      <c r="S371" s="73"/>
      <c r="T371" s="73"/>
      <c r="U371" s="74"/>
    </row>
    <row r="372" spans="2:21" s="15" customFormat="1" x14ac:dyDescent="0.25">
      <c r="B372" s="72" t="s">
        <v>3093</v>
      </c>
      <c r="C372" s="73"/>
      <c r="D372" s="73"/>
      <c r="E372" s="73"/>
      <c r="F372" s="73"/>
      <c r="G372" s="73"/>
      <c r="H372" s="73"/>
      <c r="I372" s="73"/>
      <c r="J372" s="73"/>
      <c r="K372" s="73"/>
      <c r="L372" s="73"/>
      <c r="M372" s="73"/>
      <c r="N372" s="73"/>
      <c r="O372" s="73"/>
      <c r="P372" s="73"/>
      <c r="Q372" s="73"/>
      <c r="R372" s="73"/>
      <c r="S372" s="73"/>
      <c r="T372" s="73"/>
      <c r="U372" s="74"/>
    </row>
    <row r="373" spans="2:21" s="15" customFormat="1" x14ac:dyDescent="0.25">
      <c r="B373" s="72" t="s">
        <v>3195</v>
      </c>
      <c r="C373" s="73"/>
      <c r="D373" s="73"/>
      <c r="E373" s="73"/>
      <c r="F373" s="73"/>
      <c r="G373" s="73"/>
      <c r="H373" s="73"/>
      <c r="I373" s="73"/>
      <c r="J373" s="73"/>
      <c r="K373" s="73"/>
      <c r="L373" s="73"/>
      <c r="M373" s="73"/>
      <c r="N373" s="73"/>
      <c r="O373" s="73"/>
      <c r="P373" s="73"/>
      <c r="Q373" s="73"/>
      <c r="R373" s="73"/>
      <c r="S373" s="73"/>
      <c r="T373" s="73"/>
      <c r="U373" s="74"/>
    </row>
    <row r="374" spans="2:21" s="15" customFormat="1" x14ac:dyDescent="0.25">
      <c r="B374" s="72" t="s">
        <v>3085</v>
      </c>
      <c r="C374" s="73"/>
      <c r="D374" s="73"/>
      <c r="E374" s="73"/>
      <c r="F374" s="73"/>
      <c r="G374" s="73"/>
      <c r="H374" s="73"/>
      <c r="I374" s="73"/>
      <c r="J374" s="73"/>
      <c r="K374" s="73"/>
      <c r="L374" s="73"/>
      <c r="M374" s="73"/>
      <c r="N374" s="73"/>
      <c r="O374" s="73"/>
      <c r="P374" s="73"/>
      <c r="Q374" s="73"/>
      <c r="R374" s="73"/>
      <c r="S374" s="73"/>
      <c r="T374" s="73"/>
      <c r="U374" s="74"/>
    </row>
    <row r="375" spans="2:21" s="15" customFormat="1" x14ac:dyDescent="0.25">
      <c r="B375" s="72" t="s">
        <v>3623</v>
      </c>
      <c r="C375" s="73"/>
      <c r="D375" s="73"/>
      <c r="E375" s="73"/>
      <c r="F375" s="73"/>
      <c r="G375" s="73"/>
      <c r="H375" s="73"/>
      <c r="I375" s="73"/>
      <c r="J375" s="73"/>
      <c r="K375" s="73"/>
      <c r="L375" s="73"/>
      <c r="M375" s="73"/>
      <c r="N375" s="73"/>
      <c r="O375" s="73"/>
      <c r="P375" s="73"/>
      <c r="Q375" s="73"/>
      <c r="R375" s="73"/>
      <c r="S375" s="73"/>
      <c r="T375" s="73"/>
      <c r="U375" s="74"/>
    </row>
    <row r="376" spans="2:21" s="15" customFormat="1" x14ac:dyDescent="0.25">
      <c r="B376" s="72" t="s">
        <v>3624</v>
      </c>
      <c r="C376" s="73"/>
      <c r="D376" s="73"/>
      <c r="E376" s="73"/>
      <c r="F376" s="73"/>
      <c r="G376" s="73"/>
      <c r="H376" s="73"/>
      <c r="I376" s="73"/>
      <c r="J376" s="73"/>
      <c r="K376" s="73"/>
      <c r="L376" s="73"/>
      <c r="M376" s="73"/>
      <c r="N376" s="73"/>
      <c r="O376" s="73"/>
      <c r="P376" s="73"/>
      <c r="Q376" s="73"/>
      <c r="R376" s="73"/>
      <c r="S376" s="73"/>
      <c r="T376" s="73"/>
      <c r="U376" s="74"/>
    </row>
    <row r="377" spans="2:21" s="15" customFormat="1" x14ac:dyDescent="0.25">
      <c r="B377" s="72" t="s">
        <v>3306</v>
      </c>
      <c r="C377" s="73"/>
      <c r="D377" s="73"/>
      <c r="E377" s="73"/>
      <c r="F377" s="73"/>
      <c r="G377" s="73"/>
      <c r="H377" s="73"/>
      <c r="I377" s="73"/>
      <c r="J377" s="73"/>
      <c r="K377" s="73"/>
      <c r="L377" s="73"/>
      <c r="M377" s="73"/>
      <c r="N377" s="73"/>
      <c r="O377" s="73"/>
      <c r="P377" s="73"/>
      <c r="Q377" s="73"/>
      <c r="R377" s="73"/>
      <c r="S377" s="73"/>
      <c r="T377" s="73"/>
      <c r="U377" s="74"/>
    </row>
    <row r="378" spans="2:21" s="15" customFormat="1" x14ac:dyDescent="0.25">
      <c r="B378" s="72" t="s">
        <v>3404</v>
      </c>
      <c r="C378" s="73"/>
      <c r="D378" s="73"/>
      <c r="E378" s="73"/>
      <c r="F378" s="73"/>
      <c r="G378" s="73"/>
      <c r="H378" s="73"/>
      <c r="I378" s="73"/>
      <c r="J378" s="73"/>
      <c r="K378" s="73"/>
      <c r="L378" s="73"/>
      <c r="M378" s="73"/>
      <c r="N378" s="73"/>
      <c r="O378" s="73"/>
      <c r="P378" s="73"/>
      <c r="Q378" s="73"/>
      <c r="R378" s="73"/>
      <c r="S378" s="73"/>
      <c r="T378" s="73"/>
      <c r="U378" s="74"/>
    </row>
    <row r="379" spans="2:21" s="15" customFormat="1" x14ac:dyDescent="0.25">
      <c r="B379" s="72" t="s">
        <v>3181</v>
      </c>
      <c r="C379" s="73"/>
      <c r="D379" s="73"/>
      <c r="E379" s="73"/>
      <c r="F379" s="73"/>
      <c r="G379" s="73"/>
      <c r="H379" s="73"/>
      <c r="I379" s="73"/>
      <c r="J379" s="73"/>
      <c r="K379" s="73"/>
      <c r="L379" s="73"/>
      <c r="M379" s="73"/>
      <c r="N379" s="73"/>
      <c r="O379" s="73"/>
      <c r="P379" s="73"/>
      <c r="Q379" s="73"/>
      <c r="R379" s="73"/>
      <c r="S379" s="73"/>
      <c r="T379" s="73"/>
      <c r="U379" s="74"/>
    </row>
    <row r="380" spans="2:21" s="15" customFormat="1" x14ac:dyDescent="0.25">
      <c r="B380" s="72" t="s">
        <v>3085</v>
      </c>
      <c r="C380" s="73"/>
      <c r="D380" s="73"/>
      <c r="E380" s="73"/>
      <c r="F380" s="73"/>
      <c r="G380" s="73"/>
      <c r="H380" s="73"/>
      <c r="I380" s="73"/>
      <c r="J380" s="73"/>
      <c r="K380" s="73"/>
      <c r="L380" s="73"/>
      <c r="M380" s="73"/>
      <c r="N380" s="73"/>
      <c r="O380" s="73"/>
      <c r="P380" s="73"/>
      <c r="Q380" s="73"/>
      <c r="R380" s="73"/>
      <c r="S380" s="73"/>
      <c r="T380" s="73"/>
      <c r="U380" s="74"/>
    </row>
    <row r="381" spans="2:21" s="15" customFormat="1" x14ac:dyDescent="0.25">
      <c r="B381" s="72" t="s">
        <v>3623</v>
      </c>
      <c r="C381" s="73"/>
      <c r="D381" s="73"/>
      <c r="E381" s="73"/>
      <c r="F381" s="73"/>
      <c r="G381" s="73"/>
      <c r="H381" s="73"/>
      <c r="I381" s="73"/>
      <c r="J381" s="73"/>
      <c r="K381" s="73"/>
      <c r="L381" s="73"/>
      <c r="M381" s="73"/>
      <c r="N381" s="73"/>
      <c r="O381" s="73"/>
      <c r="P381" s="73"/>
      <c r="Q381" s="73"/>
      <c r="R381" s="73"/>
      <c r="S381" s="73"/>
      <c r="T381" s="73"/>
      <c r="U381" s="74"/>
    </row>
    <row r="382" spans="2:21" s="15" customFormat="1" x14ac:dyDescent="0.25">
      <c r="B382" s="72" t="s">
        <v>3625</v>
      </c>
      <c r="C382" s="73"/>
      <c r="D382" s="73"/>
      <c r="E382" s="73"/>
      <c r="F382" s="73"/>
      <c r="G382" s="73"/>
      <c r="H382" s="73"/>
      <c r="I382" s="73"/>
      <c r="J382" s="73"/>
      <c r="K382" s="73"/>
      <c r="L382" s="73"/>
      <c r="M382" s="73"/>
      <c r="N382" s="73"/>
      <c r="O382" s="73"/>
      <c r="P382" s="73"/>
      <c r="Q382" s="73"/>
      <c r="R382" s="73"/>
      <c r="S382" s="73"/>
      <c r="T382" s="73"/>
      <c r="U382" s="74"/>
    </row>
    <row r="383" spans="2:21" s="15" customFormat="1" x14ac:dyDescent="0.25">
      <c r="B383" s="72" t="s">
        <v>3312</v>
      </c>
      <c r="C383" s="73"/>
      <c r="D383" s="73"/>
      <c r="E383" s="73"/>
      <c r="F383" s="73"/>
      <c r="G383" s="73"/>
      <c r="H383" s="73"/>
      <c r="I383" s="73"/>
      <c r="J383" s="73"/>
      <c r="K383" s="73"/>
      <c r="L383" s="73"/>
      <c r="M383" s="73"/>
      <c r="N383" s="73"/>
      <c r="O383" s="73"/>
      <c r="P383" s="73"/>
      <c r="Q383" s="73"/>
      <c r="R383" s="73"/>
      <c r="S383" s="73"/>
      <c r="T383" s="73"/>
      <c r="U383" s="74"/>
    </row>
    <row r="384" spans="2:21" s="15" customFormat="1" x14ac:dyDescent="0.25">
      <c r="B384" s="72" t="s">
        <v>3313</v>
      </c>
      <c r="C384" s="73"/>
      <c r="D384" s="73"/>
      <c r="E384" s="73"/>
      <c r="F384" s="73"/>
      <c r="G384" s="73"/>
      <c r="H384" s="73"/>
      <c r="I384" s="73"/>
      <c r="J384" s="73"/>
      <c r="K384" s="73"/>
      <c r="L384" s="73"/>
      <c r="M384" s="73"/>
      <c r="N384" s="73"/>
      <c r="O384" s="73"/>
      <c r="P384" s="73"/>
      <c r="Q384" s="73"/>
      <c r="R384" s="73"/>
      <c r="S384" s="73"/>
      <c r="T384" s="73"/>
      <c r="U384" s="74"/>
    </row>
    <row r="385" spans="2:21" s="15" customFormat="1" x14ac:dyDescent="0.25">
      <c r="B385" s="72" t="s">
        <v>3083</v>
      </c>
      <c r="C385" s="73"/>
      <c r="D385" s="73"/>
      <c r="E385" s="73"/>
      <c r="F385" s="73"/>
      <c r="G385" s="73"/>
      <c r="H385" s="73"/>
      <c r="I385" s="73"/>
      <c r="J385" s="73"/>
      <c r="K385" s="73"/>
      <c r="L385" s="73"/>
      <c r="M385" s="73"/>
      <c r="N385" s="73"/>
      <c r="O385" s="73"/>
      <c r="P385" s="73"/>
      <c r="Q385" s="73"/>
      <c r="R385" s="73"/>
      <c r="S385" s="73"/>
      <c r="T385" s="73"/>
      <c r="U385" s="74"/>
    </row>
    <row r="386" spans="2:21" s="15" customFormat="1" x14ac:dyDescent="0.25">
      <c r="B386" s="72" t="s">
        <v>3093</v>
      </c>
      <c r="C386" s="73"/>
      <c r="D386" s="73"/>
      <c r="E386" s="73"/>
      <c r="F386" s="73"/>
      <c r="G386" s="73"/>
      <c r="H386" s="73"/>
      <c r="I386" s="73"/>
      <c r="J386" s="73"/>
      <c r="K386" s="73"/>
      <c r="L386" s="73"/>
      <c r="M386" s="73"/>
      <c r="N386" s="73"/>
      <c r="O386" s="73"/>
      <c r="P386" s="73"/>
      <c r="Q386" s="73"/>
      <c r="R386" s="73"/>
      <c r="S386" s="73"/>
      <c r="T386" s="73"/>
      <c r="U386" s="74"/>
    </row>
    <row r="387" spans="2:21" s="15" customFormat="1" x14ac:dyDescent="0.25">
      <c r="B387" s="72" t="s">
        <v>3199</v>
      </c>
      <c r="C387" s="73"/>
      <c r="D387" s="73"/>
      <c r="E387" s="73"/>
      <c r="F387" s="73"/>
      <c r="G387" s="73"/>
      <c r="H387" s="73"/>
      <c r="I387" s="73"/>
      <c r="J387" s="73"/>
      <c r="K387" s="73"/>
      <c r="L387" s="73"/>
      <c r="M387" s="73"/>
      <c r="N387" s="73"/>
      <c r="O387" s="73"/>
      <c r="P387" s="73"/>
      <c r="Q387" s="73"/>
      <c r="R387" s="73"/>
      <c r="S387" s="73"/>
      <c r="T387" s="73"/>
      <c r="U387" s="74"/>
    </row>
    <row r="388" spans="2:21" s="15" customFormat="1" x14ac:dyDescent="0.25">
      <c r="B388" s="72" t="s">
        <v>3085</v>
      </c>
      <c r="C388" s="73"/>
      <c r="D388" s="73"/>
      <c r="E388" s="73"/>
      <c r="F388" s="73"/>
      <c r="G388" s="73"/>
      <c r="H388" s="73"/>
      <c r="I388" s="73"/>
      <c r="J388" s="73"/>
      <c r="K388" s="73"/>
      <c r="L388" s="73"/>
      <c r="M388" s="73"/>
      <c r="N388" s="73"/>
      <c r="O388" s="73"/>
      <c r="P388" s="73"/>
      <c r="Q388" s="73"/>
      <c r="R388" s="73"/>
      <c r="S388" s="73"/>
      <c r="T388" s="73"/>
      <c r="U388" s="74"/>
    </row>
    <row r="389" spans="2:21" s="15" customFormat="1" x14ac:dyDescent="0.25">
      <c r="B389" s="72" t="s">
        <v>3200</v>
      </c>
      <c r="C389" s="73"/>
      <c r="D389" s="73"/>
      <c r="E389" s="73"/>
      <c r="F389" s="73"/>
      <c r="G389" s="73"/>
      <c r="H389" s="73"/>
      <c r="I389" s="73"/>
      <c r="J389" s="73"/>
      <c r="K389" s="73"/>
      <c r="L389" s="73"/>
      <c r="M389" s="73"/>
      <c r="N389" s="73"/>
      <c r="O389" s="73"/>
      <c r="P389" s="73"/>
      <c r="Q389" s="73"/>
      <c r="R389" s="73"/>
      <c r="S389" s="73"/>
      <c r="T389" s="73"/>
      <c r="U389" s="74"/>
    </row>
    <row r="390" spans="2:21" s="15" customFormat="1" x14ac:dyDescent="0.25">
      <c r="B390" s="72" t="s">
        <v>3535</v>
      </c>
      <c r="C390" s="73"/>
      <c r="D390" s="73"/>
      <c r="E390" s="73"/>
      <c r="F390" s="73"/>
      <c r="G390" s="73"/>
      <c r="H390" s="73"/>
      <c r="I390" s="73"/>
      <c r="J390" s="73"/>
      <c r="K390" s="73"/>
      <c r="L390" s="73"/>
      <c r="M390" s="73"/>
      <c r="N390" s="73"/>
      <c r="O390" s="73"/>
      <c r="P390" s="73"/>
      <c r="Q390" s="73"/>
      <c r="R390" s="73"/>
      <c r="S390" s="73"/>
      <c r="T390" s="73"/>
      <c r="U390" s="74"/>
    </row>
    <row r="391" spans="2:21" s="15" customFormat="1" x14ac:dyDescent="0.25">
      <c r="B391" s="72" t="s">
        <v>3083</v>
      </c>
      <c r="C391" s="73"/>
      <c r="D391" s="73"/>
      <c r="E391" s="73"/>
      <c r="F391" s="73"/>
      <c r="G391" s="73"/>
      <c r="H391" s="73"/>
      <c r="I391" s="73"/>
      <c r="J391" s="73"/>
      <c r="K391" s="73"/>
      <c r="L391" s="73"/>
      <c r="M391" s="73"/>
      <c r="N391" s="73"/>
      <c r="O391" s="73"/>
      <c r="P391" s="73"/>
      <c r="Q391" s="73"/>
      <c r="R391" s="73"/>
      <c r="S391" s="73"/>
      <c r="T391" s="73"/>
      <c r="U391" s="74"/>
    </row>
    <row r="392" spans="2:21" s="15" customFormat="1" x14ac:dyDescent="0.25">
      <c r="B392" s="72" t="s">
        <v>3208</v>
      </c>
      <c r="C392" s="73"/>
      <c r="D392" s="73"/>
      <c r="E392" s="73"/>
      <c r="F392" s="73"/>
      <c r="G392" s="73"/>
      <c r="H392" s="73"/>
      <c r="I392" s="73"/>
      <c r="J392" s="73"/>
      <c r="K392" s="73"/>
      <c r="L392" s="73"/>
      <c r="M392" s="73"/>
      <c r="N392" s="73"/>
      <c r="O392" s="73"/>
      <c r="P392" s="73"/>
      <c r="Q392" s="73"/>
      <c r="R392" s="73"/>
      <c r="S392" s="73"/>
      <c r="T392" s="73"/>
      <c r="U392" s="74"/>
    </row>
    <row r="393" spans="2:21" s="15" customFormat="1" x14ac:dyDescent="0.25">
      <c r="B393" s="72" t="s">
        <v>3209</v>
      </c>
      <c r="C393" s="73"/>
      <c r="D393" s="73"/>
      <c r="E393" s="73"/>
      <c r="F393" s="73"/>
      <c r="G393" s="73"/>
      <c r="H393" s="73"/>
      <c r="I393" s="73"/>
      <c r="J393" s="73"/>
      <c r="K393" s="73"/>
      <c r="L393" s="73"/>
      <c r="M393" s="73"/>
      <c r="N393" s="73"/>
      <c r="O393" s="73"/>
      <c r="P393" s="73"/>
      <c r="Q393" s="73"/>
      <c r="R393" s="73"/>
      <c r="S393" s="73"/>
      <c r="T393" s="73"/>
      <c r="U393" s="74"/>
    </row>
    <row r="394" spans="2:21" s="15" customFormat="1" x14ac:dyDescent="0.25">
      <c r="B394" s="72" t="s">
        <v>3210</v>
      </c>
      <c r="C394" s="73"/>
      <c r="D394" s="73"/>
      <c r="E394" s="73"/>
      <c r="F394" s="73"/>
      <c r="G394" s="73"/>
      <c r="H394" s="73"/>
      <c r="I394" s="73"/>
      <c r="J394" s="73"/>
      <c r="K394" s="73"/>
      <c r="L394" s="73"/>
      <c r="M394" s="73"/>
      <c r="N394" s="73"/>
      <c r="O394" s="73"/>
      <c r="P394" s="73"/>
      <c r="Q394" s="73"/>
      <c r="R394" s="73"/>
      <c r="S394" s="73"/>
      <c r="T394" s="73"/>
      <c r="U394" s="74"/>
    </row>
    <row r="395" spans="2:21" s="15" customFormat="1" x14ac:dyDescent="0.25">
      <c r="B395" s="75" t="s">
        <v>3211</v>
      </c>
      <c r="C395" s="76"/>
      <c r="D395" s="76"/>
      <c r="E395" s="76"/>
      <c r="F395" s="76"/>
      <c r="G395" s="76"/>
      <c r="H395" s="76"/>
      <c r="I395" s="76"/>
      <c r="J395" s="76"/>
      <c r="K395" s="76"/>
      <c r="L395" s="76"/>
      <c r="M395" s="76"/>
      <c r="N395" s="76"/>
      <c r="O395" s="76"/>
      <c r="P395" s="76"/>
      <c r="Q395" s="76"/>
      <c r="R395" s="76"/>
      <c r="S395" s="76"/>
      <c r="T395" s="76"/>
      <c r="U395" s="77"/>
    </row>
  </sheetData>
  <mergeCells count="392">
    <mergeCell ref="B394:U394"/>
    <mergeCell ref="B395:U395"/>
    <mergeCell ref="B389:U389"/>
    <mergeCell ref="B390:U390"/>
    <mergeCell ref="B391:U391"/>
    <mergeCell ref="B392:U392"/>
    <mergeCell ref="B393:U393"/>
    <mergeCell ref="B384:U384"/>
    <mergeCell ref="B385:U385"/>
    <mergeCell ref="B386:U386"/>
    <mergeCell ref="B387:U387"/>
    <mergeCell ref="B388:U388"/>
    <mergeCell ref="B379:U379"/>
    <mergeCell ref="B380:U380"/>
    <mergeCell ref="B381:U381"/>
    <mergeCell ref="B382:U382"/>
    <mergeCell ref="B383:U383"/>
    <mergeCell ref="B374:U374"/>
    <mergeCell ref="B375:U375"/>
    <mergeCell ref="B376:U376"/>
    <mergeCell ref="B377:U377"/>
    <mergeCell ref="B378:U378"/>
    <mergeCell ref="B369:U369"/>
    <mergeCell ref="B370:U370"/>
    <mergeCell ref="B371:U371"/>
    <mergeCell ref="B372:U372"/>
    <mergeCell ref="B373:U373"/>
    <mergeCell ref="B364:U364"/>
    <mergeCell ref="B365:U365"/>
    <mergeCell ref="B366:U366"/>
    <mergeCell ref="B367:U367"/>
    <mergeCell ref="B368:U368"/>
    <mergeCell ref="B359:U359"/>
    <mergeCell ref="B360:U360"/>
    <mergeCell ref="B361:U361"/>
    <mergeCell ref="B362:U362"/>
    <mergeCell ref="B363:U363"/>
    <mergeCell ref="B354:U354"/>
    <mergeCell ref="B355:U355"/>
    <mergeCell ref="B356:U356"/>
    <mergeCell ref="B357:U357"/>
    <mergeCell ref="B358:U358"/>
    <mergeCell ref="B349:U349"/>
    <mergeCell ref="B350:U350"/>
    <mergeCell ref="B351:U351"/>
    <mergeCell ref="B352:U352"/>
    <mergeCell ref="B353:U353"/>
    <mergeCell ref="B344:U344"/>
    <mergeCell ref="B345:U345"/>
    <mergeCell ref="B346:U346"/>
    <mergeCell ref="B347:U347"/>
    <mergeCell ref="B348:U348"/>
    <mergeCell ref="B339:U339"/>
    <mergeCell ref="B340:U340"/>
    <mergeCell ref="B341:U341"/>
    <mergeCell ref="B342:U342"/>
    <mergeCell ref="B343:U343"/>
    <mergeCell ref="B334:U334"/>
    <mergeCell ref="B335:U335"/>
    <mergeCell ref="B336:U336"/>
    <mergeCell ref="B337:U337"/>
    <mergeCell ref="B338:U338"/>
    <mergeCell ref="B329:U329"/>
    <mergeCell ref="B330:U330"/>
    <mergeCell ref="B331:U331"/>
    <mergeCell ref="B332:U332"/>
    <mergeCell ref="B333:U333"/>
    <mergeCell ref="B324:U324"/>
    <mergeCell ref="B325:U325"/>
    <mergeCell ref="B326:U326"/>
    <mergeCell ref="B327:U327"/>
    <mergeCell ref="B328:U328"/>
    <mergeCell ref="B319:U319"/>
    <mergeCell ref="B320:U320"/>
    <mergeCell ref="B321:U321"/>
    <mergeCell ref="B322:U322"/>
    <mergeCell ref="B323:U323"/>
    <mergeCell ref="B314:U314"/>
    <mergeCell ref="B315:U315"/>
    <mergeCell ref="B316:U316"/>
    <mergeCell ref="B317:U317"/>
    <mergeCell ref="B318:U318"/>
    <mergeCell ref="B309:U309"/>
    <mergeCell ref="B310:U310"/>
    <mergeCell ref="B311:U311"/>
    <mergeCell ref="B312:U312"/>
    <mergeCell ref="B313:U313"/>
    <mergeCell ref="B304:U304"/>
    <mergeCell ref="B305:U305"/>
    <mergeCell ref="B306:U306"/>
    <mergeCell ref="B307:U307"/>
    <mergeCell ref="B308:U308"/>
    <mergeCell ref="B299:U299"/>
    <mergeCell ref="B300:U300"/>
    <mergeCell ref="B301:U301"/>
    <mergeCell ref="B302:U302"/>
    <mergeCell ref="B303:U303"/>
    <mergeCell ref="B294:U294"/>
    <mergeCell ref="B295:U295"/>
    <mergeCell ref="B296:U296"/>
    <mergeCell ref="B297:U297"/>
    <mergeCell ref="B298:U298"/>
    <mergeCell ref="B289:U289"/>
    <mergeCell ref="B290:U290"/>
    <mergeCell ref="B291:U291"/>
    <mergeCell ref="B292:U292"/>
    <mergeCell ref="B293:U293"/>
    <mergeCell ref="B284:U284"/>
    <mergeCell ref="B285:U285"/>
    <mergeCell ref="B286:U286"/>
    <mergeCell ref="B287:U287"/>
    <mergeCell ref="B288:U288"/>
    <mergeCell ref="B279:U279"/>
    <mergeCell ref="B280:U280"/>
    <mergeCell ref="B281:U281"/>
    <mergeCell ref="B282:U282"/>
    <mergeCell ref="B283:U283"/>
    <mergeCell ref="B274:U274"/>
    <mergeCell ref="B275:U275"/>
    <mergeCell ref="B276:U276"/>
    <mergeCell ref="B277:U277"/>
    <mergeCell ref="B278:U278"/>
    <mergeCell ref="B269:U269"/>
    <mergeCell ref="B270:U270"/>
    <mergeCell ref="B271:U271"/>
    <mergeCell ref="B272:U272"/>
    <mergeCell ref="B273:U273"/>
    <mergeCell ref="B264:U264"/>
    <mergeCell ref="B265:U265"/>
    <mergeCell ref="B266:U266"/>
    <mergeCell ref="B267:U267"/>
    <mergeCell ref="B268:U268"/>
    <mergeCell ref="B259:U259"/>
    <mergeCell ref="B260:U260"/>
    <mergeCell ref="B261:U261"/>
    <mergeCell ref="B262:U262"/>
    <mergeCell ref="B263:U263"/>
    <mergeCell ref="B254:U254"/>
    <mergeCell ref="B255:U255"/>
    <mergeCell ref="B256:U256"/>
    <mergeCell ref="B257:U257"/>
    <mergeCell ref="B258:U258"/>
    <mergeCell ref="B249:U249"/>
    <mergeCell ref="B250:U250"/>
    <mergeCell ref="B251:U251"/>
    <mergeCell ref="B252:U252"/>
    <mergeCell ref="B253:U253"/>
    <mergeCell ref="B244:U244"/>
    <mergeCell ref="B245:U245"/>
    <mergeCell ref="B246:U246"/>
    <mergeCell ref="B247:U247"/>
    <mergeCell ref="B248:U248"/>
    <mergeCell ref="B239:U239"/>
    <mergeCell ref="B240:U240"/>
    <mergeCell ref="B241:U241"/>
    <mergeCell ref="B242:U242"/>
    <mergeCell ref="B243:U243"/>
    <mergeCell ref="B234:U234"/>
    <mergeCell ref="B235:U235"/>
    <mergeCell ref="B236:U236"/>
    <mergeCell ref="B237:U237"/>
    <mergeCell ref="B238:U238"/>
    <mergeCell ref="B229:U229"/>
    <mergeCell ref="B230:U230"/>
    <mergeCell ref="B231:U231"/>
    <mergeCell ref="B232:U232"/>
    <mergeCell ref="B233:U233"/>
    <mergeCell ref="B224:U224"/>
    <mergeCell ref="B225:U225"/>
    <mergeCell ref="B226:U226"/>
    <mergeCell ref="B227:U227"/>
    <mergeCell ref="B228:U228"/>
    <mergeCell ref="B219:U219"/>
    <mergeCell ref="B220:U220"/>
    <mergeCell ref="B221:U221"/>
    <mergeCell ref="B222:U222"/>
    <mergeCell ref="B223:U223"/>
    <mergeCell ref="B214:U214"/>
    <mergeCell ref="B215:U215"/>
    <mergeCell ref="B216:U216"/>
    <mergeCell ref="B217:U217"/>
    <mergeCell ref="B218:U218"/>
    <mergeCell ref="B209:U209"/>
    <mergeCell ref="B210:U210"/>
    <mergeCell ref="B211:U211"/>
    <mergeCell ref="B212:U212"/>
    <mergeCell ref="B213:U213"/>
    <mergeCell ref="B204:U204"/>
    <mergeCell ref="B205:U205"/>
    <mergeCell ref="B206:U206"/>
    <mergeCell ref="B207:U207"/>
    <mergeCell ref="B208:U208"/>
    <mergeCell ref="B199:U199"/>
    <mergeCell ref="B200:U200"/>
    <mergeCell ref="B201:U201"/>
    <mergeCell ref="B202:U202"/>
    <mergeCell ref="B203:U203"/>
    <mergeCell ref="B194:U194"/>
    <mergeCell ref="B195:U195"/>
    <mergeCell ref="B196:U196"/>
    <mergeCell ref="B197:U197"/>
    <mergeCell ref="B198:U198"/>
    <mergeCell ref="B189:U189"/>
    <mergeCell ref="B190:U190"/>
    <mergeCell ref="B191:U191"/>
    <mergeCell ref="B192:U192"/>
    <mergeCell ref="B193:U193"/>
    <mergeCell ref="B184:U184"/>
    <mergeCell ref="B185:U185"/>
    <mergeCell ref="B186:U186"/>
    <mergeCell ref="B187:U187"/>
    <mergeCell ref="B188:U188"/>
    <mergeCell ref="B179:U179"/>
    <mergeCell ref="B180:U180"/>
    <mergeCell ref="B181:U181"/>
    <mergeCell ref="B182:U182"/>
    <mergeCell ref="B183:U183"/>
    <mergeCell ref="B174:U174"/>
    <mergeCell ref="B175:U175"/>
    <mergeCell ref="B176:U176"/>
    <mergeCell ref="B177:U177"/>
    <mergeCell ref="B178:U178"/>
    <mergeCell ref="B169:U169"/>
    <mergeCell ref="B170:U170"/>
    <mergeCell ref="B171:U171"/>
    <mergeCell ref="B172:U172"/>
    <mergeCell ref="B173:U173"/>
    <mergeCell ref="B164:U164"/>
    <mergeCell ref="B165:U165"/>
    <mergeCell ref="B166:U166"/>
    <mergeCell ref="B167:U167"/>
    <mergeCell ref="B168:U168"/>
    <mergeCell ref="B159:U159"/>
    <mergeCell ref="B160:U160"/>
    <mergeCell ref="B161:U161"/>
    <mergeCell ref="B162:U162"/>
    <mergeCell ref="B163:U163"/>
    <mergeCell ref="B154:U154"/>
    <mergeCell ref="B155:U155"/>
    <mergeCell ref="B156:U156"/>
    <mergeCell ref="B157:U157"/>
    <mergeCell ref="B158:U158"/>
    <mergeCell ref="B149:U149"/>
    <mergeCell ref="B150:U150"/>
    <mergeCell ref="B151:U151"/>
    <mergeCell ref="B152:U152"/>
    <mergeCell ref="B153:U153"/>
    <mergeCell ref="B144:U144"/>
    <mergeCell ref="B145:U145"/>
    <mergeCell ref="B146:U146"/>
    <mergeCell ref="B147:U147"/>
    <mergeCell ref="B148:U148"/>
    <mergeCell ref="B139:U139"/>
    <mergeCell ref="B140:U140"/>
    <mergeCell ref="B141:U141"/>
    <mergeCell ref="B142:U142"/>
    <mergeCell ref="B143:U143"/>
    <mergeCell ref="B134:U134"/>
    <mergeCell ref="B135:U135"/>
    <mergeCell ref="B136:U136"/>
    <mergeCell ref="B137:U137"/>
    <mergeCell ref="B138:U138"/>
    <mergeCell ref="B129:U129"/>
    <mergeCell ref="B130:U130"/>
    <mergeCell ref="B131:U131"/>
    <mergeCell ref="B132:U132"/>
    <mergeCell ref="B133:U133"/>
    <mergeCell ref="B124:U124"/>
    <mergeCell ref="B125:U125"/>
    <mergeCell ref="B126:U126"/>
    <mergeCell ref="B127:U127"/>
    <mergeCell ref="B128:U128"/>
    <mergeCell ref="B119:U119"/>
    <mergeCell ref="B120:U120"/>
    <mergeCell ref="B121:U121"/>
    <mergeCell ref="B122:U122"/>
    <mergeCell ref="B123:U123"/>
    <mergeCell ref="B114:U114"/>
    <mergeCell ref="B115:U115"/>
    <mergeCell ref="B116:U116"/>
    <mergeCell ref="B117:U117"/>
    <mergeCell ref="B118:U118"/>
    <mergeCell ref="B109:U109"/>
    <mergeCell ref="B110:U110"/>
    <mergeCell ref="B111:U111"/>
    <mergeCell ref="B112:U112"/>
    <mergeCell ref="B113:U113"/>
    <mergeCell ref="B104:U104"/>
    <mergeCell ref="B105:U105"/>
    <mergeCell ref="B106:U106"/>
    <mergeCell ref="B107:U107"/>
    <mergeCell ref="B108:U108"/>
    <mergeCell ref="B99:U99"/>
    <mergeCell ref="B100:U100"/>
    <mergeCell ref="B101:U101"/>
    <mergeCell ref="B102:U102"/>
    <mergeCell ref="B103:U103"/>
    <mergeCell ref="B94:U94"/>
    <mergeCell ref="B95:U95"/>
    <mergeCell ref="B96:U96"/>
    <mergeCell ref="B97:U97"/>
    <mergeCell ref="B98:U98"/>
    <mergeCell ref="B89:U89"/>
    <mergeCell ref="B90:U90"/>
    <mergeCell ref="B91:U91"/>
    <mergeCell ref="B92:U92"/>
    <mergeCell ref="B93:U93"/>
    <mergeCell ref="B84:U84"/>
    <mergeCell ref="B85:U85"/>
    <mergeCell ref="B86:U86"/>
    <mergeCell ref="B87:U87"/>
    <mergeCell ref="B88:U88"/>
    <mergeCell ref="B79:U79"/>
    <mergeCell ref="B80:U80"/>
    <mergeCell ref="B81:U81"/>
    <mergeCell ref="B82:U82"/>
    <mergeCell ref="B83:U83"/>
    <mergeCell ref="B74:U74"/>
    <mergeCell ref="B75:U75"/>
    <mergeCell ref="B76:U76"/>
    <mergeCell ref="B77:U77"/>
    <mergeCell ref="B78:U78"/>
    <mergeCell ref="B69:U69"/>
    <mergeCell ref="B70:U70"/>
    <mergeCell ref="B71:U71"/>
    <mergeCell ref="B72:U72"/>
    <mergeCell ref="B73:U73"/>
    <mergeCell ref="B64:U64"/>
    <mergeCell ref="B65:U65"/>
    <mergeCell ref="B66:U66"/>
    <mergeCell ref="B67:U67"/>
    <mergeCell ref="B68:U68"/>
    <mergeCell ref="B59:U59"/>
    <mergeCell ref="B60:U60"/>
    <mergeCell ref="B61:U61"/>
    <mergeCell ref="B62:U62"/>
    <mergeCell ref="B63:U63"/>
    <mergeCell ref="B54:U54"/>
    <mergeCell ref="B55:U55"/>
    <mergeCell ref="B56:U56"/>
    <mergeCell ref="B57:U57"/>
    <mergeCell ref="B58:U58"/>
    <mergeCell ref="B49:U49"/>
    <mergeCell ref="B50:U50"/>
    <mergeCell ref="B51:U51"/>
    <mergeCell ref="B52:U52"/>
    <mergeCell ref="B53:U53"/>
    <mergeCell ref="B44:U44"/>
    <mergeCell ref="B45:U45"/>
    <mergeCell ref="B46:U46"/>
    <mergeCell ref="B47:U47"/>
    <mergeCell ref="B48:U48"/>
    <mergeCell ref="B39:U39"/>
    <mergeCell ref="B40:U40"/>
    <mergeCell ref="B41:U41"/>
    <mergeCell ref="B42:U42"/>
    <mergeCell ref="B43:U43"/>
    <mergeCell ref="B34:U34"/>
    <mergeCell ref="B35:U35"/>
    <mergeCell ref="B36:U36"/>
    <mergeCell ref="B37:U37"/>
    <mergeCell ref="B38:U38"/>
    <mergeCell ref="B29:U29"/>
    <mergeCell ref="B30:U30"/>
    <mergeCell ref="B31:U31"/>
    <mergeCell ref="B32:U32"/>
    <mergeCell ref="B33:U33"/>
    <mergeCell ref="B24:U24"/>
    <mergeCell ref="B25:U25"/>
    <mergeCell ref="B26:U26"/>
    <mergeCell ref="B27:U27"/>
    <mergeCell ref="B28:U28"/>
    <mergeCell ref="B19:U19"/>
    <mergeCell ref="B20:U20"/>
    <mergeCell ref="B21:U21"/>
    <mergeCell ref="B22:U22"/>
    <mergeCell ref="B23:U23"/>
    <mergeCell ref="B14:U14"/>
    <mergeCell ref="B15:U15"/>
    <mergeCell ref="B16:U16"/>
    <mergeCell ref="B17:U17"/>
    <mergeCell ref="B18:U18"/>
    <mergeCell ref="B9:U9"/>
    <mergeCell ref="B10:U10"/>
    <mergeCell ref="B11:U11"/>
    <mergeCell ref="B12:U12"/>
    <mergeCell ref="B13:U13"/>
    <mergeCell ref="A1:AD1"/>
    <mergeCell ref="B5:U5"/>
    <mergeCell ref="B6:U6"/>
    <mergeCell ref="B7:U7"/>
    <mergeCell ref="B8:U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01A7C829DE62F4699E10B88A314111E" ma:contentTypeVersion="4" ma:contentTypeDescription="Skapa ett nytt dokument." ma:contentTypeScope="" ma:versionID="2c92fde81f8ac2366c87ceb25748c4c4">
  <xsd:schema xmlns:xsd="http://www.w3.org/2001/XMLSchema" xmlns:xs="http://www.w3.org/2001/XMLSchema" xmlns:p="http://schemas.microsoft.com/office/2006/metadata/properties" xmlns:ns2="f84e88cf-0c26-4dec-9ad8-00b2e66c06de" targetNamespace="http://schemas.microsoft.com/office/2006/metadata/properties" ma:root="true" ma:fieldsID="478db76d8c84ed70cf26d3bfa9260575" ns2:_="">
    <xsd:import namespace="f84e88cf-0c26-4dec-9ad8-00b2e66c06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e88cf-0c26-4dec-9ad8-00b2e66c06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8F7527-BCB1-43EA-8ABA-E02A5FED7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e88cf-0c26-4dec-9ad8-00b2e66c0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A07D2E-205E-44CF-AFF1-F06BF379F5E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7387BD-F167-445E-926E-60911F44D4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Innehåll</vt:lpstr>
      <vt:lpstr>Json-dokumentation</vt:lpstr>
      <vt:lpstr>Ändringshistorik</vt:lpstr>
      <vt:lpstr>Exempel 1</vt:lpstr>
      <vt:lpstr>Exempel 2</vt:lpstr>
      <vt:lpstr>Exempel 3</vt:lpstr>
      <vt:lpstr>Exempel Omvårdnadsdokumentation</vt:lpstr>
      <vt:lpstr>Exempel Daglig SOFA</vt:lpstr>
    </vt:vector>
  </TitlesOfParts>
  <Company>Otimo Data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SIR Json Dokumentation 5.2 revision 34</dc:title>
  <dc:creator>Otimo Data AB</dc:creator>
  <cp:lastModifiedBy>Lena Andersson</cp:lastModifiedBy>
  <dcterms:created xsi:type="dcterms:W3CDTF">2025-10-24T12:46:31Z</dcterms:created>
  <dcterms:modified xsi:type="dcterms:W3CDTF">2025-10-24T12:46:31Z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0x010100301A7C829DE62F4699E10B88A314111E</vt:lpwstr>
  </property>
</Properties>
</file>